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4385" yWindow="-15" windowWidth="14430" windowHeight="14265" tabRatio="881"/>
  </bookViews>
  <sheets>
    <sheet name="Bank Template Tool - 2013" sheetId="1" r:id="rId1"/>
    <sheet name="Summary - 2013" sheetId="9" r:id="rId2"/>
    <sheet name="Charts" sheetId="15" r:id="rId3"/>
    <sheet name="Data" sheetId="20" r:id="rId4"/>
    <sheet name="aux - template" sheetId="18" r:id="rId5"/>
    <sheet name="aux - sample" sheetId="8" r:id="rId6"/>
  </sheets>
  <externalReferences>
    <externalReference r:id="rId7"/>
  </externalReferences>
  <definedNames>
    <definedName name="_xlnm._FilterDatabase" localSheetId="0" hidden="1">'Bank Template Tool - 2013'!$J$5:$L$5</definedName>
    <definedName name="_xlnm.Print_Area" localSheetId="0">'Bank Template Tool - 2013'!$A$1:$I$140</definedName>
    <definedName name="_xlnm.Print_Area" localSheetId="2">Charts!$A$1:$U$136</definedName>
    <definedName name="_xlnm.Print_Titles" localSheetId="0">'Bank Template Tool - 2013'!$1:$16</definedName>
  </definedNames>
  <calcPr calcId="145621"/>
</workbook>
</file>

<file path=xl/calcChain.xml><?xml version="1.0" encoding="utf-8"?>
<calcChain xmlns="http://schemas.openxmlformats.org/spreadsheetml/2006/main">
  <c r="B42" i="9" l="1"/>
  <c r="A42" i="9"/>
  <c r="Q42" i="9" s="1"/>
  <c r="B41" i="9"/>
  <c r="Q41" i="9" s="1"/>
  <c r="A41" i="9"/>
  <c r="P41" i="9" s="1"/>
  <c r="B40" i="9"/>
  <c r="Q40" i="9" s="1"/>
  <c r="A40" i="9"/>
  <c r="P40" i="9" s="1"/>
  <c r="B39" i="9"/>
  <c r="Q39" i="9" s="1"/>
  <c r="A39" i="9"/>
  <c r="P39" i="9" s="1"/>
  <c r="B38" i="9"/>
  <c r="Q38" i="9" s="1"/>
  <c r="A38" i="9"/>
  <c r="P38" i="9" s="1"/>
  <c r="B37" i="9"/>
  <c r="Q37" i="9" s="1"/>
  <c r="A37" i="9"/>
  <c r="P37" i="9" s="1"/>
  <c r="B36" i="9"/>
  <c r="Q36" i="9" s="1"/>
  <c r="A36" i="9"/>
  <c r="P36" i="9" s="1"/>
  <c r="B35" i="9"/>
  <c r="Q35" i="9" s="1"/>
  <c r="A35" i="9"/>
  <c r="P35" i="9" s="1"/>
  <c r="B34" i="9"/>
  <c r="A34" i="9"/>
  <c r="B33" i="9"/>
  <c r="Q33" i="9" s="1"/>
  <c r="A33" i="9"/>
  <c r="B32" i="9"/>
  <c r="Q32" i="9" s="1"/>
  <c r="A32" i="9"/>
  <c r="B31" i="9"/>
  <c r="Q31" i="9" s="1"/>
  <c r="A31" i="9"/>
  <c r="B30" i="9"/>
  <c r="Q30" i="9" s="1"/>
  <c r="A30" i="9"/>
  <c r="B29" i="9"/>
  <c r="Q29" i="9" s="1"/>
  <c r="A29" i="9"/>
  <c r="B28" i="9"/>
  <c r="A28" i="9"/>
  <c r="P28" i="9" s="1"/>
  <c r="B27" i="9"/>
  <c r="A27" i="9"/>
  <c r="P27" i="9" s="1"/>
  <c r="B26" i="9"/>
  <c r="A26" i="9"/>
  <c r="P26" i="9" s="1"/>
  <c r="B25" i="9"/>
  <c r="A25" i="9"/>
  <c r="P25" i="9" s="1"/>
  <c r="B24" i="9"/>
  <c r="A24" i="9"/>
  <c r="P24" i="9" s="1"/>
  <c r="B23" i="9"/>
  <c r="A23" i="9"/>
  <c r="P23" i="9" s="1"/>
  <c r="B22" i="9"/>
  <c r="Q22" i="9" s="1"/>
  <c r="A22" i="9"/>
  <c r="B21" i="9"/>
  <c r="O21" i="9" s="1"/>
  <c r="A21" i="9"/>
  <c r="B20" i="9"/>
  <c r="O20" i="9" s="1"/>
  <c r="A20" i="9"/>
  <c r="B19" i="9"/>
  <c r="O19" i="9" s="1"/>
  <c r="A19" i="9"/>
  <c r="B18" i="9"/>
  <c r="O18" i="9" s="1"/>
  <c r="A18" i="9"/>
  <c r="B17" i="9"/>
  <c r="Q17" i="9" s="1"/>
  <c r="A17" i="9"/>
  <c r="B16" i="9"/>
  <c r="Q16" i="9" s="1"/>
  <c r="A16" i="9"/>
  <c r="P16" i="9" s="1"/>
  <c r="B15" i="9"/>
  <c r="Q15" i="9" s="1"/>
  <c r="A15" i="9"/>
  <c r="P15" i="9" s="1"/>
  <c r="B14" i="9"/>
  <c r="Q14" i="9" s="1"/>
  <c r="A14" i="9"/>
  <c r="P14" i="9" s="1"/>
  <c r="B13" i="9"/>
  <c r="Q13" i="9" s="1"/>
  <c r="A13" i="9"/>
  <c r="P13" i="9" s="1"/>
  <c r="B12" i="9"/>
  <c r="Q12" i="9" s="1"/>
  <c r="A12" i="9"/>
  <c r="P12" i="9" s="1"/>
  <c r="B11" i="9"/>
  <c r="Q11" i="9" s="1"/>
  <c r="A11" i="9"/>
  <c r="P11" i="9" s="1"/>
  <c r="B10" i="9"/>
  <c r="Q10" i="9" s="1"/>
  <c r="A10" i="9"/>
  <c r="P10" i="9" s="1"/>
  <c r="B9" i="9"/>
  <c r="Q9" i="9" s="1"/>
  <c r="A9" i="9"/>
  <c r="P9" i="9" s="1"/>
  <c r="B8" i="9"/>
  <c r="Q8" i="9" s="1"/>
  <c r="A8" i="9"/>
  <c r="P8" i="9" s="1"/>
  <c r="B7" i="9"/>
  <c r="Q7" i="9" s="1"/>
  <c r="A7" i="9"/>
  <c r="P7" i="9" s="1"/>
  <c r="G7" i="9" l="1"/>
  <c r="I7" i="9"/>
  <c r="K7" i="9"/>
  <c r="M7" i="9"/>
  <c r="O7" i="9"/>
  <c r="G8" i="9"/>
  <c r="I8" i="9"/>
  <c r="K8" i="9"/>
  <c r="M8" i="9"/>
  <c r="O8" i="9"/>
  <c r="G9" i="9"/>
  <c r="I9" i="9"/>
  <c r="K9" i="9"/>
  <c r="M9" i="9"/>
  <c r="O9" i="9"/>
  <c r="G10" i="9"/>
  <c r="I10" i="9"/>
  <c r="K10" i="9"/>
  <c r="M10" i="9"/>
  <c r="O10" i="9"/>
  <c r="G11" i="9"/>
  <c r="I11" i="9"/>
  <c r="K11" i="9"/>
  <c r="M11" i="9"/>
  <c r="O11" i="9"/>
  <c r="G12" i="9"/>
  <c r="I12" i="9"/>
  <c r="K12" i="9"/>
  <c r="M12" i="9"/>
  <c r="O12" i="9"/>
  <c r="G13" i="9"/>
  <c r="I13" i="9"/>
  <c r="K13" i="9"/>
  <c r="M13" i="9"/>
  <c r="O13" i="9"/>
  <c r="G14" i="9"/>
  <c r="I14" i="9"/>
  <c r="K14" i="9"/>
  <c r="M14" i="9"/>
  <c r="O14" i="9"/>
  <c r="G15" i="9"/>
  <c r="I15" i="9"/>
  <c r="K15" i="9"/>
  <c r="M15" i="9"/>
  <c r="O15" i="9"/>
  <c r="G16" i="9"/>
  <c r="I16" i="9"/>
  <c r="K16" i="9"/>
  <c r="M16" i="9"/>
  <c r="O16" i="9"/>
  <c r="G17" i="9"/>
  <c r="I17" i="9"/>
  <c r="M17" i="9"/>
  <c r="I18" i="9"/>
  <c r="M18" i="9"/>
  <c r="Q18" i="9"/>
  <c r="I19" i="9"/>
  <c r="M19" i="9"/>
  <c r="Q19" i="9"/>
  <c r="I20" i="9"/>
  <c r="M20" i="9"/>
  <c r="Q20" i="9"/>
  <c r="I21" i="9"/>
  <c r="M21" i="9"/>
  <c r="Q21" i="9"/>
  <c r="I22" i="9"/>
  <c r="M22" i="9"/>
  <c r="F7" i="9"/>
  <c r="H7" i="9"/>
  <c r="J7" i="9"/>
  <c r="L7" i="9"/>
  <c r="N7" i="9"/>
  <c r="F8" i="9"/>
  <c r="H8" i="9"/>
  <c r="J8" i="9"/>
  <c r="L8" i="9"/>
  <c r="N8" i="9"/>
  <c r="F9" i="9"/>
  <c r="H9" i="9"/>
  <c r="J9" i="9"/>
  <c r="L9" i="9"/>
  <c r="N9" i="9"/>
  <c r="F10" i="9"/>
  <c r="H10" i="9"/>
  <c r="J10" i="9"/>
  <c r="L10" i="9"/>
  <c r="N10" i="9"/>
  <c r="F11" i="9"/>
  <c r="H11" i="9"/>
  <c r="J11" i="9"/>
  <c r="L11" i="9"/>
  <c r="N11" i="9"/>
  <c r="F12" i="9"/>
  <c r="H12" i="9"/>
  <c r="J12" i="9"/>
  <c r="L12" i="9"/>
  <c r="N12" i="9"/>
  <c r="F13" i="9"/>
  <c r="H13" i="9"/>
  <c r="J13" i="9"/>
  <c r="L13" i="9"/>
  <c r="N13" i="9"/>
  <c r="F14" i="9"/>
  <c r="H14" i="9"/>
  <c r="J14" i="9"/>
  <c r="L14" i="9"/>
  <c r="N14" i="9"/>
  <c r="F15" i="9"/>
  <c r="H15" i="9"/>
  <c r="J15" i="9"/>
  <c r="L15" i="9"/>
  <c r="N15" i="9"/>
  <c r="F16" i="9"/>
  <c r="H16" i="9"/>
  <c r="J16" i="9"/>
  <c r="L16" i="9"/>
  <c r="N16" i="9"/>
  <c r="P17" i="9"/>
  <c r="N17" i="9"/>
  <c r="L17" i="9"/>
  <c r="J17" i="9"/>
  <c r="F17" i="9"/>
  <c r="H17" i="9"/>
  <c r="K17" i="9"/>
  <c r="O17" i="9"/>
  <c r="P18" i="9"/>
  <c r="G18" i="9"/>
  <c r="K18" i="9"/>
  <c r="P19" i="9"/>
  <c r="G19" i="9"/>
  <c r="K19" i="9"/>
  <c r="P20" i="9"/>
  <c r="G20" i="9"/>
  <c r="K20" i="9"/>
  <c r="P21" i="9"/>
  <c r="G21" i="9"/>
  <c r="K21" i="9"/>
  <c r="P22" i="9"/>
  <c r="G22" i="9"/>
  <c r="K22" i="9"/>
  <c r="O22" i="9"/>
  <c r="G23" i="9"/>
  <c r="I23" i="9"/>
  <c r="K23" i="9"/>
  <c r="M23" i="9"/>
  <c r="O23" i="9"/>
  <c r="Q23" i="9"/>
  <c r="G24" i="9"/>
  <c r="I24" i="9"/>
  <c r="K24" i="9"/>
  <c r="M24" i="9"/>
  <c r="O24" i="9"/>
  <c r="Q24" i="9"/>
  <c r="G25" i="9"/>
  <c r="I25" i="9"/>
  <c r="K25" i="9"/>
  <c r="M25" i="9"/>
  <c r="O25" i="9"/>
  <c r="Q25" i="9"/>
  <c r="G26" i="9"/>
  <c r="I26" i="9"/>
  <c r="K26" i="9"/>
  <c r="M26" i="9"/>
  <c r="O26" i="9"/>
  <c r="Q26" i="9"/>
  <c r="G27" i="9"/>
  <c r="I27" i="9"/>
  <c r="K27" i="9"/>
  <c r="M27" i="9"/>
  <c r="O27" i="9"/>
  <c r="Q27" i="9"/>
  <c r="G28" i="9"/>
  <c r="I28" i="9"/>
  <c r="K28" i="9"/>
  <c r="M28" i="9"/>
  <c r="O28" i="9"/>
  <c r="P29" i="9"/>
  <c r="G29" i="9"/>
  <c r="K29" i="9"/>
  <c r="O29" i="9"/>
  <c r="P30" i="9"/>
  <c r="G30" i="9"/>
  <c r="K30" i="9"/>
  <c r="O30" i="9"/>
  <c r="P31" i="9"/>
  <c r="G31" i="9"/>
  <c r="K31" i="9"/>
  <c r="O31" i="9"/>
  <c r="P32" i="9"/>
  <c r="G32" i="9"/>
  <c r="K32" i="9"/>
  <c r="O32" i="9"/>
  <c r="P33" i="9"/>
  <c r="G33" i="9"/>
  <c r="K33" i="9"/>
  <c r="O33" i="9"/>
  <c r="P34" i="9"/>
  <c r="F18" i="9"/>
  <c r="H18" i="9"/>
  <c r="J18" i="9"/>
  <c r="L18" i="9"/>
  <c r="N18" i="9"/>
  <c r="F19" i="9"/>
  <c r="H19" i="9"/>
  <c r="J19" i="9"/>
  <c r="L19" i="9"/>
  <c r="N19" i="9"/>
  <c r="F20" i="9"/>
  <c r="H20" i="9"/>
  <c r="J20" i="9"/>
  <c r="L20" i="9"/>
  <c r="N20" i="9"/>
  <c r="F21" i="9"/>
  <c r="H21" i="9"/>
  <c r="J21" i="9"/>
  <c r="L21" i="9"/>
  <c r="N21" i="9"/>
  <c r="F22" i="9"/>
  <c r="H22" i="9"/>
  <c r="J22" i="9"/>
  <c r="L22" i="9"/>
  <c r="N22" i="9"/>
  <c r="F23" i="9"/>
  <c r="H23" i="9"/>
  <c r="J23" i="9"/>
  <c r="L23" i="9"/>
  <c r="N23" i="9"/>
  <c r="F24" i="9"/>
  <c r="H24" i="9"/>
  <c r="J24" i="9"/>
  <c r="L24" i="9"/>
  <c r="N24" i="9"/>
  <c r="F25" i="9"/>
  <c r="H25" i="9"/>
  <c r="J25" i="9"/>
  <c r="L25" i="9"/>
  <c r="N25" i="9"/>
  <c r="F26" i="9"/>
  <c r="H26" i="9"/>
  <c r="J26" i="9"/>
  <c r="L26" i="9"/>
  <c r="N26" i="9"/>
  <c r="F27" i="9"/>
  <c r="H27" i="9"/>
  <c r="J27" i="9"/>
  <c r="L27" i="9"/>
  <c r="N27" i="9"/>
  <c r="F28" i="9"/>
  <c r="H28" i="9"/>
  <c r="J28" i="9"/>
  <c r="L28" i="9"/>
  <c r="N28" i="9"/>
  <c r="Q28" i="9"/>
  <c r="I29" i="9"/>
  <c r="M29" i="9"/>
  <c r="I30" i="9"/>
  <c r="M30" i="9"/>
  <c r="I31" i="9"/>
  <c r="M31" i="9"/>
  <c r="I32" i="9"/>
  <c r="M32" i="9"/>
  <c r="I33" i="9"/>
  <c r="M33" i="9"/>
  <c r="Q34" i="9"/>
  <c r="O34" i="9"/>
  <c r="M34" i="9"/>
  <c r="K34" i="9"/>
  <c r="I34" i="9"/>
  <c r="G34" i="9"/>
  <c r="F29" i="9"/>
  <c r="H29" i="9"/>
  <c r="J29" i="9"/>
  <c r="L29" i="9"/>
  <c r="N29" i="9"/>
  <c r="F30" i="9"/>
  <c r="H30" i="9"/>
  <c r="J30" i="9"/>
  <c r="L30" i="9"/>
  <c r="N30" i="9"/>
  <c r="F31" i="9"/>
  <c r="H31" i="9"/>
  <c r="J31" i="9"/>
  <c r="L31" i="9"/>
  <c r="N31" i="9"/>
  <c r="F32" i="9"/>
  <c r="H32" i="9"/>
  <c r="J32" i="9"/>
  <c r="L32" i="9"/>
  <c r="N32" i="9"/>
  <c r="F33" i="9"/>
  <c r="H33" i="9"/>
  <c r="J33" i="9"/>
  <c r="L33" i="9"/>
  <c r="N33" i="9"/>
  <c r="F34" i="9"/>
  <c r="H34" i="9"/>
  <c r="J34" i="9"/>
  <c r="L34" i="9"/>
  <c r="N34" i="9"/>
  <c r="F35" i="9"/>
  <c r="H35" i="9"/>
  <c r="J35" i="9"/>
  <c r="L35" i="9"/>
  <c r="N35" i="9"/>
  <c r="F36" i="9"/>
  <c r="H36" i="9"/>
  <c r="J36" i="9"/>
  <c r="L36" i="9"/>
  <c r="N36" i="9"/>
  <c r="F37" i="9"/>
  <c r="H37" i="9"/>
  <c r="J37" i="9"/>
  <c r="L37" i="9"/>
  <c r="N37" i="9"/>
  <c r="F38" i="9"/>
  <c r="H38" i="9"/>
  <c r="J38" i="9"/>
  <c r="L38" i="9"/>
  <c r="N38" i="9"/>
  <c r="F39" i="9"/>
  <c r="H39" i="9"/>
  <c r="J39" i="9"/>
  <c r="L39" i="9"/>
  <c r="N39" i="9"/>
  <c r="F40" i="9"/>
  <c r="H40" i="9"/>
  <c r="J40" i="9"/>
  <c r="L40" i="9"/>
  <c r="N40" i="9"/>
  <c r="F41" i="9"/>
  <c r="H41" i="9"/>
  <c r="J41" i="9"/>
  <c r="L41" i="9"/>
  <c r="N41" i="9"/>
  <c r="F42" i="9"/>
  <c r="H42" i="9"/>
  <c r="J42" i="9"/>
  <c r="L42" i="9"/>
  <c r="N42" i="9"/>
  <c r="P42" i="9"/>
  <c r="G35" i="9"/>
  <c r="I35" i="9"/>
  <c r="K35" i="9"/>
  <c r="M35" i="9"/>
  <c r="O35" i="9"/>
  <c r="G36" i="9"/>
  <c r="I36" i="9"/>
  <c r="K36" i="9"/>
  <c r="M36" i="9"/>
  <c r="O36" i="9"/>
  <c r="G37" i="9"/>
  <c r="I37" i="9"/>
  <c r="K37" i="9"/>
  <c r="M37" i="9"/>
  <c r="O37" i="9"/>
  <c r="G38" i="9"/>
  <c r="I38" i="9"/>
  <c r="K38" i="9"/>
  <c r="M38" i="9"/>
  <c r="O38" i="9"/>
  <c r="G39" i="9"/>
  <c r="I39" i="9"/>
  <c r="K39" i="9"/>
  <c r="M39" i="9"/>
  <c r="O39" i="9"/>
  <c r="G40" i="9"/>
  <c r="I40" i="9"/>
  <c r="K40" i="9"/>
  <c r="M40" i="9"/>
  <c r="O40" i="9"/>
  <c r="G41" i="9"/>
  <c r="I41" i="9"/>
  <c r="K41" i="9"/>
  <c r="M41" i="9"/>
  <c r="O41" i="9"/>
  <c r="G42" i="9"/>
  <c r="I42" i="9"/>
  <c r="K42" i="9"/>
  <c r="M42" i="9"/>
  <c r="O42" i="9"/>
  <c r="H204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220" i="18" s="1"/>
  <c r="L184" i="18"/>
  <c r="H184" i="18"/>
  <c r="E184" i="18"/>
  <c r="E183" i="18"/>
  <c r="B181" i="18"/>
  <c r="H179" i="18"/>
  <c r="L178" i="18"/>
  <c r="J178" i="18"/>
  <c r="H178" i="18"/>
  <c r="H176" i="18"/>
  <c r="H175" i="18"/>
  <c r="H174" i="18"/>
  <c r="H173" i="18"/>
  <c r="H172" i="18"/>
  <c r="H171" i="18"/>
  <c r="H170" i="18"/>
  <c r="H168" i="18"/>
  <c r="H167" i="18"/>
  <c r="H219" i="18" s="1"/>
  <c r="L166" i="18"/>
  <c r="J166" i="18"/>
  <c r="H166" i="18"/>
  <c r="H161" i="18"/>
  <c r="H159" i="18"/>
  <c r="H158" i="18"/>
  <c r="H157" i="18"/>
  <c r="L156" i="18"/>
  <c r="J156" i="18"/>
  <c r="H156" i="18"/>
  <c r="H153" i="18"/>
  <c r="H151" i="18"/>
  <c r="H217" i="18" s="1"/>
  <c r="L150" i="18"/>
  <c r="J150" i="18"/>
  <c r="H150" i="18"/>
  <c r="H146" i="18"/>
  <c r="H216" i="18" s="1"/>
  <c r="L145" i="18"/>
  <c r="J145" i="18"/>
  <c r="H145" i="18"/>
  <c r="H142" i="18"/>
  <c r="H140" i="18"/>
  <c r="H139" i="18"/>
  <c r="H138" i="18"/>
  <c r="H137" i="18"/>
  <c r="H215" i="18" s="1"/>
  <c r="L136" i="18"/>
  <c r="J136" i="18"/>
  <c r="H136" i="18"/>
  <c r="H133" i="18"/>
  <c r="H132" i="18"/>
  <c r="L131" i="18"/>
  <c r="J131" i="18"/>
  <c r="H131" i="18"/>
  <c r="H126" i="18"/>
  <c r="H125" i="18"/>
  <c r="F127" i="18" s="1"/>
  <c r="L124" i="18"/>
  <c r="J124" i="18"/>
  <c r="H124" i="18"/>
  <c r="H122" i="18"/>
  <c r="H212" i="18" s="1"/>
  <c r="L121" i="18"/>
  <c r="J121" i="18"/>
  <c r="H121" i="18"/>
  <c r="H118" i="18"/>
  <c r="F118" i="18"/>
  <c r="H117" i="18"/>
  <c r="F117" i="18"/>
  <c r="H116" i="18"/>
  <c r="F116" i="18"/>
  <c r="C115" i="18"/>
  <c r="H114" i="18"/>
  <c r="F114" i="18"/>
  <c r="H113" i="18"/>
  <c r="F113" i="18"/>
  <c r="H112" i="18"/>
  <c r="F112" i="18"/>
  <c r="H111" i="18"/>
  <c r="F111" i="18"/>
  <c r="H110" i="18"/>
  <c r="F110" i="18"/>
  <c r="H109" i="18"/>
  <c r="F109" i="18"/>
  <c r="H108" i="18"/>
  <c r="F108" i="18"/>
  <c r="H107" i="18"/>
  <c r="F107" i="18"/>
  <c r="H106" i="18"/>
  <c r="F106" i="18"/>
  <c r="H105" i="18"/>
  <c r="F105" i="18"/>
  <c r="H104" i="18"/>
  <c r="F104" i="18"/>
  <c r="H103" i="18"/>
  <c r="F103" i="18"/>
  <c r="F119" i="18" s="1"/>
  <c r="L102" i="18"/>
  <c r="J102" i="18"/>
  <c r="H102" i="18"/>
  <c r="H96" i="18"/>
  <c r="H94" i="18"/>
  <c r="H93" i="18"/>
  <c r="H92" i="18"/>
  <c r="H91" i="18"/>
  <c r="H90" i="18"/>
  <c r="H89" i="18"/>
  <c r="H88" i="18"/>
  <c r="H210" i="18" s="1"/>
  <c r="L87" i="18"/>
  <c r="J87" i="18"/>
  <c r="H87" i="18"/>
  <c r="H84" i="18"/>
  <c r="H83" i="18"/>
  <c r="H81" i="18"/>
  <c r="H80" i="18"/>
  <c r="H78" i="18"/>
  <c r="H77" i="18"/>
  <c r="H76" i="18"/>
  <c r="H75" i="18"/>
  <c r="L74" i="18"/>
  <c r="J74" i="18"/>
  <c r="H74" i="18"/>
  <c r="H70" i="18"/>
  <c r="H69" i="18"/>
  <c r="H67" i="18"/>
  <c r="H66" i="18"/>
  <c r="H65" i="18"/>
  <c r="H64" i="18"/>
  <c r="H63" i="18"/>
  <c r="H62" i="18"/>
  <c r="H61" i="18"/>
  <c r="H59" i="18"/>
  <c r="H58" i="18"/>
  <c r="H57" i="18"/>
  <c r="H208" i="18" s="1"/>
  <c r="L56" i="18"/>
  <c r="J56" i="18"/>
  <c r="H56" i="18"/>
  <c r="H51" i="18"/>
  <c r="H50" i="18"/>
  <c r="H48" i="18"/>
  <c r="H46" i="18"/>
  <c r="H45" i="18"/>
  <c r="H44" i="18"/>
  <c r="H43" i="18"/>
  <c r="H41" i="18"/>
  <c r="H40" i="18"/>
  <c r="H39" i="18"/>
  <c r="H38" i="18"/>
  <c r="H37" i="18"/>
  <c r="H36" i="18"/>
  <c r="H32" i="18"/>
  <c r="H31" i="18"/>
  <c r="H30" i="18"/>
  <c r="H29" i="18"/>
  <c r="H28" i="18"/>
  <c r="H27" i="18"/>
  <c r="H26" i="18"/>
  <c r="H24" i="18"/>
  <c r="H23" i="18"/>
  <c r="H22" i="18"/>
  <c r="H21" i="18"/>
  <c r="H20" i="18"/>
  <c r="F25" i="18" s="1"/>
  <c r="F156" i="18"/>
  <c r="H15" i="18"/>
  <c r="H14" i="18"/>
  <c r="H13" i="18"/>
  <c r="H11" i="18"/>
  <c r="H10" i="18"/>
  <c r="H8" i="18"/>
  <c r="H7" i="18"/>
  <c r="H6" i="18"/>
  <c r="H205" i="18" s="1"/>
  <c r="H206" i="18" l="1"/>
  <c r="F34" i="18"/>
  <c r="F52" i="18" s="1"/>
  <c r="F85" i="18"/>
  <c r="H211" i="18"/>
  <c r="H214" i="18"/>
  <c r="H218" i="18"/>
  <c r="F56" i="18"/>
  <c r="F72" i="18"/>
  <c r="F87" i="18"/>
  <c r="F101" i="18" s="1"/>
  <c r="F97" i="18"/>
  <c r="F121" i="18"/>
  <c r="F131" i="18"/>
  <c r="F134" i="18"/>
  <c r="F143" i="18"/>
  <c r="F150" i="18"/>
  <c r="F154" i="18"/>
  <c r="F166" i="18"/>
  <c r="F169" i="18"/>
  <c r="H207" i="18"/>
  <c r="H209" i="18"/>
  <c r="H213" i="18"/>
  <c r="F74" i="18"/>
  <c r="F124" i="18"/>
  <c r="F136" i="18"/>
  <c r="F145" i="18"/>
  <c r="F162" i="18"/>
  <c r="C36" i="9"/>
  <c r="C37" i="9"/>
  <c r="C38" i="9"/>
  <c r="C39" i="9"/>
  <c r="C40" i="9"/>
  <c r="C41" i="9"/>
  <c r="C42" i="9"/>
  <c r="F1" i="1" l="1"/>
  <c r="F8" i="1"/>
  <c r="F136" i="1" l="1"/>
  <c r="F134" i="1"/>
  <c r="F130" i="1"/>
  <c r="F124" i="1"/>
  <c r="F120" i="1"/>
  <c r="F118" i="1"/>
  <c r="F114" i="1"/>
  <c r="F112" i="1"/>
  <c r="F106" i="1"/>
  <c r="F102" i="1"/>
  <c r="F98" i="1"/>
  <c r="F97" i="1"/>
  <c r="F96" i="1"/>
  <c r="F95" i="1"/>
  <c r="F94" i="1"/>
  <c r="F93" i="1"/>
  <c r="F92" i="1"/>
  <c r="F91" i="1"/>
  <c r="F90" i="1"/>
  <c r="F89" i="1"/>
  <c r="F88" i="1"/>
  <c r="F87" i="1"/>
  <c r="F81" i="1"/>
  <c r="F79" i="1"/>
  <c r="F77" i="1"/>
  <c r="F75" i="1"/>
  <c r="F71" i="1"/>
  <c r="F69" i="1"/>
  <c r="F66" i="1"/>
  <c r="F64" i="1"/>
  <c r="F60" i="1"/>
  <c r="F57" i="1"/>
  <c r="F55" i="1"/>
  <c r="F53" i="1"/>
  <c r="F51" i="1"/>
  <c r="F48" i="1"/>
  <c r="F42" i="1"/>
  <c r="F40" i="1"/>
  <c r="F38" i="1"/>
  <c r="F36" i="1"/>
  <c r="F33" i="1"/>
  <c r="F31" i="1"/>
  <c r="F29" i="1"/>
  <c r="F27" i="1"/>
  <c r="F25" i="1"/>
  <c r="F23" i="1"/>
  <c r="F21" i="1"/>
  <c r="F15" i="1"/>
  <c r="F135" i="1"/>
  <c r="F133" i="1"/>
  <c r="F129" i="1"/>
  <c r="F121" i="1"/>
  <c r="F119" i="1"/>
  <c r="F117" i="1"/>
  <c r="F113" i="1"/>
  <c r="F107" i="1"/>
  <c r="F105" i="1"/>
  <c r="F99" i="1"/>
  <c r="E98" i="1"/>
  <c r="E97" i="1"/>
  <c r="E96" i="1"/>
  <c r="E95" i="1"/>
  <c r="E94" i="1"/>
  <c r="E93" i="1"/>
  <c r="E92" i="1"/>
  <c r="E91" i="1"/>
  <c r="E90" i="1"/>
  <c r="E89" i="1"/>
  <c r="E88" i="1"/>
  <c r="E87" i="1"/>
  <c r="F80" i="1"/>
  <c r="F78" i="1"/>
  <c r="F76" i="1"/>
  <c r="F74" i="1"/>
  <c r="F70" i="1"/>
  <c r="F67" i="1"/>
  <c r="F65" i="1"/>
  <c r="F61" i="1"/>
  <c r="F59" i="1"/>
  <c r="F56" i="1"/>
  <c r="F54" i="1"/>
  <c r="F52" i="1"/>
  <c r="F49" i="1"/>
  <c r="F47" i="1"/>
  <c r="F41" i="1"/>
  <c r="F39" i="1"/>
  <c r="F37" i="1"/>
  <c r="F34" i="1"/>
  <c r="F32" i="1"/>
  <c r="F30" i="1"/>
  <c r="F28" i="1"/>
  <c r="F26" i="1"/>
  <c r="F24" i="1"/>
  <c r="F22" i="1"/>
  <c r="F16" i="1"/>
  <c r="F14" i="1"/>
  <c r="F12" i="1"/>
  <c r="F13" i="1"/>
  <c r="F11" i="1"/>
  <c r="B32" i="8"/>
  <c r="B33" i="8"/>
  <c r="B34" i="8"/>
  <c r="B35" i="8"/>
  <c r="B36" i="8"/>
  <c r="B37" i="8"/>
  <c r="B38" i="8"/>
  <c r="C7" i="9" l="1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Q44" i="9" l="1"/>
  <c r="B19" i="8" l="1"/>
  <c r="B12" i="8"/>
  <c r="B7" i="8"/>
  <c r="B20" i="8"/>
  <c r="B26" i="8"/>
  <c r="B8" i="8"/>
  <c r="B9" i="8"/>
  <c r="B10" i="8"/>
  <c r="B11" i="8"/>
  <c r="B5" i="8"/>
  <c r="B28" i="8"/>
  <c r="B18" i="8"/>
  <c r="B4" i="8"/>
  <c r="B31" i="8"/>
  <c r="B3" i="8"/>
  <c r="B17" i="8"/>
  <c r="B24" i="8"/>
  <c r="B13" i="8"/>
  <c r="B15" i="8"/>
  <c r="B23" i="8"/>
  <c r="B27" i="8"/>
  <c r="B30" i="8"/>
  <c r="B29" i="8"/>
  <c r="B6" i="8"/>
  <c r="B16" i="8"/>
  <c r="B21" i="8"/>
  <c r="B22" i="8"/>
  <c r="B25" i="8"/>
  <c r="B14" i="8"/>
  <c r="F9" i="1"/>
</calcChain>
</file>

<file path=xl/sharedStrings.xml><?xml version="1.0" encoding="utf-8"?>
<sst xmlns="http://schemas.openxmlformats.org/spreadsheetml/2006/main" count="1423" uniqueCount="562">
  <si>
    <t>General Bank Data</t>
  </si>
  <si>
    <t>Section 1: General Information</t>
  </si>
  <si>
    <t>Response</t>
  </si>
  <si>
    <t>a. General information provided by the national supervisor:</t>
  </si>
  <si>
    <t>(1) Country code</t>
  </si>
  <si>
    <t>&lt;select&gt;</t>
  </si>
  <si>
    <t>1.a.(1)</t>
  </si>
  <si>
    <t>(2) Bank name</t>
  </si>
  <si>
    <t>1.a.(2)</t>
  </si>
  <si>
    <t>(3) Submission date (yyyy-mm-dd)</t>
  </si>
  <si>
    <t>1.a.(3)</t>
  </si>
  <si>
    <t>b. General Information provided by the reporting institution:</t>
  </si>
  <si>
    <t>(1) Reporting date (yyyy-mm-dd)</t>
  </si>
  <si>
    <t>1.b.(1)</t>
  </si>
  <si>
    <t>(2) Reporting currency</t>
  </si>
  <si>
    <t>1.b.(2)</t>
  </si>
  <si>
    <t>(3) Euro conversion rate</t>
  </si>
  <si>
    <t/>
  </si>
  <si>
    <t>1.b.(3)</t>
  </si>
  <si>
    <t>(4) Reporting unit</t>
  </si>
  <si>
    <t>1.b.(4)</t>
  </si>
  <si>
    <t>(5) Accounting standard</t>
  </si>
  <si>
    <t>1.b.(5)</t>
  </si>
  <si>
    <t>(6) Location of public disclosure</t>
  </si>
  <si>
    <t>1.b.(6)</t>
  </si>
  <si>
    <t>Size Indicator</t>
  </si>
  <si>
    <t>Section 2: Total Exposures</t>
  </si>
  <si>
    <t>Amount</t>
  </si>
  <si>
    <t>a. Counterparty exposure of derivatives contracts (method 1)</t>
  </si>
  <si>
    <t>2.a.</t>
  </si>
  <si>
    <t>b. Gross value of securities financing transactions (SFTs)</t>
  </si>
  <si>
    <t>2.b.</t>
  </si>
  <si>
    <t>c. Counterparty exposure of SFTs</t>
  </si>
  <si>
    <t>2.c.</t>
  </si>
  <si>
    <t>d. Other assets</t>
  </si>
  <si>
    <t>2.d.</t>
  </si>
  <si>
    <t>(1) Securities received in SFTs that are recognised as assets</t>
  </si>
  <si>
    <t>2.d.(1)</t>
  </si>
  <si>
    <t>e. Total on-balance sheet items (sum of items 2.a, 2.b, 2.c, and 2.d, minus 2.d.(1))</t>
  </si>
  <si>
    <t>2.e.</t>
  </si>
  <si>
    <t>f. Potential future exposure of derivative contracts (method 1)</t>
  </si>
  <si>
    <t>2.f.</t>
  </si>
  <si>
    <t>g. Notional amount of off-balance sheet items with a 0% CCF</t>
  </si>
  <si>
    <t>2.g.</t>
  </si>
  <si>
    <t>(1) Unconditionally cancellable credit card commitments</t>
  </si>
  <si>
    <t>2.g.(1)</t>
  </si>
  <si>
    <t xml:space="preserve">(2) Other unconditionally cancellable commitments </t>
  </si>
  <si>
    <t>2.g.(2)</t>
  </si>
  <si>
    <t>h. Notional amount of off-balance sheet items with a 20% CCF</t>
  </si>
  <si>
    <t>2.h.</t>
  </si>
  <si>
    <t>i. Notional amount of off-balance sheet items with a 50% CCF</t>
  </si>
  <si>
    <t>2.i.</t>
  </si>
  <si>
    <t>j. Notional amount of off-balance sheet items with a 100% CCF</t>
  </si>
  <si>
    <t>2.j.</t>
  </si>
  <si>
    <t>k. Total off-balance sheet items (sum of items 2.f, 2.g, and 2.h through 2.j, minus 0.9 times the sum of items 2.g.(1) and 2.g.(2))</t>
  </si>
  <si>
    <t>2.k.</t>
  </si>
  <si>
    <t>l. Entities consolidated for accounting purposes but not for risk-based regulatory purposes:</t>
  </si>
  <si>
    <t>(1) On-balance sheet assets</t>
  </si>
  <si>
    <t>2.l.(1)</t>
  </si>
  <si>
    <t>(2) Potential future exposure of derivatives contracts</t>
  </si>
  <si>
    <t>2.l.(2)</t>
  </si>
  <si>
    <t>(3) Unconditionally cancellable commitments</t>
  </si>
  <si>
    <t>2.l.(3)</t>
  </si>
  <si>
    <t>(4) Other off-balance sheet commitments</t>
  </si>
  <si>
    <t>2.l.(4)</t>
  </si>
  <si>
    <t>(5) Investment value in the consolidated entities</t>
  </si>
  <si>
    <t>2.l.(5)</t>
  </si>
  <si>
    <t>m. Regulatory adjustments</t>
  </si>
  <si>
    <t>2.m.</t>
  </si>
  <si>
    <t>o. Total exposures indicator (sum of items 2.e, 2.k, 2.l.(1), 2.l.(2), 0.1 times 2.l.(3), 2.l.(4), minus the sum of items 2.l.(5) and 2.m)</t>
  </si>
  <si>
    <t>2.o.</t>
  </si>
  <si>
    <t>Interconnectedness Indicators</t>
  </si>
  <si>
    <t>Section 3: Intra-Financial System Assets</t>
  </si>
  <si>
    <t>a. Funds deposited with or lent to other financial institutions</t>
  </si>
  <si>
    <t>3.a.</t>
  </si>
  <si>
    <t xml:space="preserve">(1) Certificates of deposit </t>
  </si>
  <si>
    <t>3.a.(1)</t>
  </si>
  <si>
    <t>b. Undrawn committed lines extended to other financial institutions</t>
  </si>
  <si>
    <t>3.b.</t>
  </si>
  <si>
    <t>c. Holdings of securities issued by other financial institutions:</t>
  </si>
  <si>
    <t>(1) Secured debt securities</t>
  </si>
  <si>
    <t>3.c.(1)</t>
  </si>
  <si>
    <t>(2) Senior unsecured debt securities</t>
  </si>
  <si>
    <t>3.c.(2)</t>
  </si>
  <si>
    <t>(3) Subordinated debt securities</t>
  </si>
  <si>
    <t>3.c.(3)</t>
  </si>
  <si>
    <t xml:space="preserve">(4) Commercial paper </t>
  </si>
  <si>
    <t>3.c.(4)</t>
  </si>
  <si>
    <t>(5) Stock (including par and surplus of common and preferred shares)</t>
  </si>
  <si>
    <t>3.c.(5)</t>
  </si>
  <si>
    <t>(6) Offsetting short positions in relation to the specific stock holdings included in item 3.c.(5)</t>
  </si>
  <si>
    <t>3.c.(6)</t>
  </si>
  <si>
    <t>d. Net positive current exposure of securities financing transactions with other financial institutions</t>
  </si>
  <si>
    <t>3.d.</t>
  </si>
  <si>
    <t>e. Over-the-counter (OTC) derivatives with other financial institutions that have a net positive fair value:</t>
  </si>
  <si>
    <t>(1) Net positive fair value (include collateral held if it is within the master netting agreement)</t>
  </si>
  <si>
    <t>3.e.(1)</t>
  </si>
  <si>
    <t>(2) Potential future exposure</t>
  </si>
  <si>
    <t>3.e.(2)</t>
  </si>
  <si>
    <t>f. Intra-financial system assets indicator (sum of items 3.a, 3.b through 3.c.(5), 3.d, 3.e.(1), and 3.e.(2), minus 3.c.(6))</t>
  </si>
  <si>
    <t>3.f.</t>
  </si>
  <si>
    <t>Section 4: Intra-Financial System Liabilities</t>
  </si>
  <si>
    <t>a. Deposits due to depository institutions</t>
  </si>
  <si>
    <t>4.a.</t>
  </si>
  <si>
    <t>b. Deposits due to non-depository financial institutions</t>
  </si>
  <si>
    <t>4.b.</t>
  </si>
  <si>
    <t>c. Undrawn committed lines obtained from other financial institutions</t>
  </si>
  <si>
    <t>4.c.</t>
  </si>
  <si>
    <t>d. Net negative current exposure of securities financing transactions with other financial institutions</t>
  </si>
  <si>
    <t>4.d.</t>
  </si>
  <si>
    <t>e. OTC derivatives with other financial institutions that have a net negative fair value:</t>
  </si>
  <si>
    <t>(1) Net negative fair value (include collateral provided if it is within the master netting agreement)</t>
  </si>
  <si>
    <t>4.e.(1)</t>
  </si>
  <si>
    <t>4.e.(2)</t>
  </si>
  <si>
    <t>g. Intra-financial system liabilities indicator (sum of items 4.a through 4.e.(2))</t>
  </si>
  <si>
    <t>4.g.</t>
  </si>
  <si>
    <t>Section 5: Securities Outstanding</t>
  </si>
  <si>
    <t>a. Secured debt securities</t>
  </si>
  <si>
    <t>5.a.</t>
  </si>
  <si>
    <t>b. Senior unsecured debt securities</t>
  </si>
  <si>
    <t>5.b.</t>
  </si>
  <si>
    <t>c. Subordinated debt securities</t>
  </si>
  <si>
    <t>5.c.</t>
  </si>
  <si>
    <t>d. Commercial paper</t>
  </si>
  <si>
    <t>5.d.</t>
  </si>
  <si>
    <t>e. Certificates of deposit</t>
  </si>
  <si>
    <t>5.e.</t>
  </si>
  <si>
    <t>f. Common equity</t>
  </si>
  <si>
    <t>5.f.</t>
  </si>
  <si>
    <t>g. Preferred shares and any other forms of subordinated funding not captured in item 5.c.</t>
  </si>
  <si>
    <t>5.g.</t>
  </si>
  <si>
    <t>i. Securities outstanding indicator (sum of items 5.a through 5.g)</t>
  </si>
  <si>
    <t>5.i.</t>
  </si>
  <si>
    <t>Substitutability/Financial Institution Infrastructure Indicators</t>
  </si>
  <si>
    <t>Section 6: Payments made in the reporting year (excluding intragroup payments)</t>
  </si>
  <si>
    <t>Reported in</t>
  </si>
  <si>
    <t>Amount in specified currency</t>
  </si>
  <si>
    <t>a. Australian dollars</t>
  </si>
  <si>
    <t>AUD</t>
  </si>
  <si>
    <t xml:space="preserve"> </t>
  </si>
  <si>
    <t>6.a.</t>
  </si>
  <si>
    <t>b. Brazilian real</t>
  </si>
  <si>
    <t>BRL</t>
  </si>
  <si>
    <t>6.b.</t>
  </si>
  <si>
    <t>c. Canadian dollars</t>
  </si>
  <si>
    <t>CAD</t>
  </si>
  <si>
    <t>6.c.</t>
  </si>
  <si>
    <t>d. Swiss francs</t>
  </si>
  <si>
    <t>CHF</t>
  </si>
  <si>
    <t>6.d.</t>
  </si>
  <si>
    <t>e. Chinese yuan</t>
  </si>
  <si>
    <t>CNY</t>
  </si>
  <si>
    <t>6.e.</t>
  </si>
  <si>
    <t>f. Euros</t>
  </si>
  <si>
    <t>EUR</t>
  </si>
  <si>
    <t>6.f.</t>
  </si>
  <si>
    <t>g. British pounds</t>
  </si>
  <si>
    <t>GBP</t>
  </si>
  <si>
    <t>6.g.</t>
  </si>
  <si>
    <t>h. Hong Kong dollars</t>
  </si>
  <si>
    <t>HKD</t>
  </si>
  <si>
    <t>6.h.</t>
  </si>
  <si>
    <t>i. Indian rupee</t>
  </si>
  <si>
    <t>INR</t>
  </si>
  <si>
    <t>6.i.</t>
  </si>
  <si>
    <t>j. Japanese yen</t>
  </si>
  <si>
    <t>JPY</t>
  </si>
  <si>
    <t>6.j.</t>
  </si>
  <si>
    <t>k. Swedish krona</t>
  </si>
  <si>
    <t>SEK</t>
  </si>
  <si>
    <t>6.k.</t>
  </si>
  <si>
    <t>l. United States dollars</t>
  </si>
  <si>
    <t>USD</t>
  </si>
  <si>
    <t>6.l.</t>
  </si>
  <si>
    <t>MXN</t>
  </si>
  <si>
    <t>NZD</t>
  </si>
  <si>
    <t>RUB</t>
  </si>
  <si>
    <t>n. Payments activity indicator (sum of items 6.a through 6.l)</t>
  </si>
  <si>
    <t>6.n.</t>
  </si>
  <si>
    <t>Section 7: Assets Under Custody</t>
  </si>
  <si>
    <t>a. Assets under custody indicator</t>
  </si>
  <si>
    <t>7.a.</t>
  </si>
  <si>
    <t>Section 8: Underwritten Transactions in Debt and Equity Markets</t>
  </si>
  <si>
    <t>a. Equity underwriting activity</t>
  </si>
  <si>
    <t>8.a.</t>
  </si>
  <si>
    <t>b. Debt underwriting activity</t>
  </si>
  <si>
    <t>8.b.</t>
  </si>
  <si>
    <t>c. Underwriting activity indicator (sum of items 8.a and 8.b)</t>
  </si>
  <si>
    <t>8.c.</t>
  </si>
  <si>
    <t>Section 9: Notional Amount of Over-the-Counter (OTC) Derivatives</t>
  </si>
  <si>
    <t>a. OTC derivatives cleared through a central counterparty</t>
  </si>
  <si>
    <t>9.a.</t>
  </si>
  <si>
    <t>b. OTC derivatives settled bilaterally</t>
  </si>
  <si>
    <t>9.b.</t>
  </si>
  <si>
    <t>c. OTC derivatives indicator (sum of items 9.a and 9.b)</t>
  </si>
  <si>
    <t>9.c.</t>
  </si>
  <si>
    <t>Section 10: Trading and Available-for-Sale Securities</t>
  </si>
  <si>
    <t>a. Held-for-trading securities (HFT)</t>
  </si>
  <si>
    <t>10.a.</t>
  </si>
  <si>
    <t>b. Available-for-sale securities (AFS)</t>
  </si>
  <si>
    <t>10.b.</t>
  </si>
  <si>
    <t>c. Trading and AFS securities that meet the definition of Level 1 assets</t>
  </si>
  <si>
    <t xml:space="preserve">10.c. </t>
  </si>
  <si>
    <t>d. Trading and AFS securities that meet the definition of Level 2 assets, with haircuts</t>
  </si>
  <si>
    <t>10.d.</t>
  </si>
  <si>
    <t>f. Trading and AFS securities indicator (sum of items 10.a and 10.b, minus the sum of 10.c and 10.d)</t>
  </si>
  <si>
    <t>10.f.</t>
  </si>
  <si>
    <t>Section 11: Level 3 Assets</t>
  </si>
  <si>
    <t>a. Level 3 assets indicator</t>
  </si>
  <si>
    <t>11.a.</t>
  </si>
  <si>
    <t>Cross-Jurisdictional Activity Indicators</t>
  </si>
  <si>
    <t>Section 12: Cross-Jurisdictional Claims</t>
  </si>
  <si>
    <t>a. Foreign claims on an ultimate risk basis (excluding derivatives activity)</t>
  </si>
  <si>
    <t>12.a.</t>
  </si>
  <si>
    <t>c. Cross-jurisdictional claims indicator (item 12.a)</t>
  </si>
  <si>
    <t>12.c.</t>
  </si>
  <si>
    <t>Section 13: Cross-Jurisdictional Liabilities</t>
  </si>
  <si>
    <t>a. Foreign liabilities (excluding derivatives and local liabilities in local currency)</t>
  </si>
  <si>
    <t>13.a.</t>
  </si>
  <si>
    <t>(1) Any foreign liabilities to related offices included in item 13.a.</t>
  </si>
  <si>
    <t>13.a.(1)</t>
  </si>
  <si>
    <t>b. Local liabilities in local currency (excluding derivatives activity)</t>
  </si>
  <si>
    <t>13.b.</t>
  </si>
  <si>
    <t>d. Cross-jurisdictional liabilities indicator (sum of items 13.a and 13.b, minus 13.a.(1))</t>
  </si>
  <si>
    <t>13.d.</t>
  </si>
  <si>
    <t>Additional Indicators</t>
  </si>
  <si>
    <t>Bank Name:</t>
  </si>
  <si>
    <t>Categories</t>
  </si>
  <si>
    <t>Indicators</t>
  </si>
  <si>
    <t>Size</t>
  </si>
  <si>
    <t xml:space="preserve">Total exposures </t>
  </si>
  <si>
    <t>Interconnectedness</t>
  </si>
  <si>
    <t>Intra-financial system assets</t>
  </si>
  <si>
    <t>Intra-financial system liabilities</t>
  </si>
  <si>
    <t>Securities outstanding</t>
  </si>
  <si>
    <t>Substitutability/Financial Institution Infrastructure</t>
  </si>
  <si>
    <t xml:space="preserve">Payments activity </t>
  </si>
  <si>
    <t>Assets under custody</t>
  </si>
  <si>
    <t>Underwriting activity</t>
  </si>
  <si>
    <t>Complexity</t>
  </si>
  <si>
    <t>Trading and AFS securities</t>
  </si>
  <si>
    <t>Level 3 assets</t>
  </si>
  <si>
    <t>Cross-Jurisdictional Activity</t>
  </si>
  <si>
    <t>Cross-jurisdictional claims</t>
  </si>
  <si>
    <t>Cross-jurisdictional liabilities</t>
  </si>
  <si>
    <t>NO_DNB</t>
  </si>
  <si>
    <t>SE_HAN</t>
  </si>
  <si>
    <t>SE_NOR</t>
  </si>
  <si>
    <t>SE_SEB</t>
  </si>
  <si>
    <t>ES_BBV</t>
  </si>
  <si>
    <t>ES_CAI</t>
  </si>
  <si>
    <t>ES_SAN</t>
  </si>
  <si>
    <t>SE_SWE</t>
  </si>
  <si>
    <t>AT_ERS</t>
  </si>
  <si>
    <t>DK_DAN</t>
  </si>
  <si>
    <t>FR_BNP</t>
  </si>
  <si>
    <t>FR_BPC</t>
  </si>
  <si>
    <t>FR_CAG</t>
  </si>
  <si>
    <t>FR_CMU</t>
  </si>
  <si>
    <t>FR_POS</t>
  </si>
  <si>
    <t>FR_SOC</t>
  </si>
  <si>
    <t>IT_INT</t>
  </si>
  <si>
    <t>IT_MPS</t>
  </si>
  <si>
    <t>IT_UNI</t>
  </si>
  <si>
    <t>NL_ABN</t>
  </si>
  <si>
    <t>NL_ING</t>
  </si>
  <si>
    <t>NL_RAB</t>
  </si>
  <si>
    <t>UK_STC</t>
  </si>
  <si>
    <t>UK_BAR</t>
  </si>
  <si>
    <t>UK_HSB</t>
  </si>
  <si>
    <t>UK_LOY</t>
  </si>
  <si>
    <t>UK_NAT</t>
  </si>
  <si>
    <t>UK_RBS</t>
  </si>
  <si>
    <t>GB</t>
  </si>
  <si>
    <t>SE</t>
  </si>
  <si>
    <t>ES</t>
  </si>
  <si>
    <t>AT</t>
  </si>
  <si>
    <t>BE</t>
  </si>
  <si>
    <t>DK</t>
  </si>
  <si>
    <t>FR</t>
  </si>
  <si>
    <t>IT</t>
  </si>
  <si>
    <t>NL</t>
  </si>
  <si>
    <t>StandardChartered</t>
  </si>
  <si>
    <t>Handelsbanken</t>
  </si>
  <si>
    <t>Nordea</t>
  </si>
  <si>
    <t>SEB</t>
  </si>
  <si>
    <t>Grupo "la Caixa"</t>
  </si>
  <si>
    <t>Swedbank</t>
  </si>
  <si>
    <t>Erste Group</t>
  </si>
  <si>
    <t>KBC</t>
  </si>
  <si>
    <t>DanskeBank</t>
  </si>
  <si>
    <t>BnpParibas</t>
  </si>
  <si>
    <t>BPCE</t>
  </si>
  <si>
    <t>CreditAgricole</t>
  </si>
  <si>
    <t>CreditMutuel</t>
  </si>
  <si>
    <t>Postale</t>
  </si>
  <si>
    <t>SocieteGenerale</t>
  </si>
  <si>
    <t>Intesa</t>
  </si>
  <si>
    <t>MonteDeiPaschi</t>
  </si>
  <si>
    <t>Unicredit</t>
  </si>
  <si>
    <t>ABNAmro</t>
  </si>
  <si>
    <t>ING</t>
  </si>
  <si>
    <t>Rabobank</t>
  </si>
  <si>
    <t>Barclays</t>
  </si>
  <si>
    <t>HSBC</t>
  </si>
  <si>
    <t>Lloyds</t>
  </si>
  <si>
    <t>Nationwide</t>
  </si>
  <si>
    <t>RBS</t>
  </si>
  <si>
    <t>DKK</t>
  </si>
  <si>
    <t>IFRS</t>
  </si>
  <si>
    <t>Other national accounting standard</t>
  </si>
  <si>
    <t>http://investors.sc.com/en/showresults.cfm?CategoryID=360</t>
  </si>
  <si>
    <t xml:space="preserve">http://www.swedbank.se/om-swedbank/investor-relations/finansiell-information-och-publikationer/riksrapporter/index.htm
</t>
  </si>
  <si>
    <t>http://media-cms.bnpparibas.com/file/60/7/disclosure_for_g-sibs_indicators_31-12-2013.32607.pdf</t>
  </si>
  <si>
    <t>http://www.bpce.fr/Investisseur/Information-reglementee/Publication-reglementaire</t>
  </si>
  <si>
    <t xml:space="preserve">http://www.credit-agricole.com/Investisseur-et-actionnaire/Communiques-de-presse </t>
  </si>
  <si>
    <t>https://www.creditmutuel.fr/groupecm/fr/publications/rapports-annuels.html</t>
  </si>
  <si>
    <t>https://www.labanquepostale.fr/groupe/Investisseur.html</t>
  </si>
  <si>
    <t>http://www.societegenerale.com/sites/default/files/documents/Pilier%20III/2014/SIFIS_FR.pdf</t>
  </si>
  <si>
    <t>http://www.group.intesasanpaolo.com/scriptIsir0/si09/governance/ita_assessment_methodology.jsp</t>
  </si>
  <si>
    <t>http://b.mps.it/go/GSIBs</t>
  </si>
  <si>
    <t xml:space="preserve">http://www.hsbc.com/investor-relations/financial-and-regulatory-reports
</t>
  </si>
  <si>
    <t xml:space="preserve">http://www.lloydsbankinggroup.com/Investors/financial-performance/lloyds-banking-group/   
</t>
  </si>
  <si>
    <t xml:space="preserve">http://www.nationwide.co.uk/about/corporate-information/results-and-accounts#xtab:2013-2014
</t>
  </si>
  <si>
    <t>www.investors.rbs.com/results-centre/archived-group-results/</t>
  </si>
  <si>
    <t>k. Total off-balance sheet items</t>
  </si>
  <si>
    <t>NO</t>
  </si>
  <si>
    <t>DNB</t>
  </si>
  <si>
    <t>HAN</t>
  </si>
  <si>
    <t>NOR</t>
  </si>
  <si>
    <t>BBV</t>
  </si>
  <si>
    <t>CAI</t>
  </si>
  <si>
    <t>SAN</t>
  </si>
  <si>
    <t>SWE</t>
  </si>
  <si>
    <t>ERS</t>
  </si>
  <si>
    <t>DAN</t>
  </si>
  <si>
    <t>BNP</t>
  </si>
  <si>
    <t>BPC</t>
  </si>
  <si>
    <t>CAG</t>
  </si>
  <si>
    <t>CMU</t>
  </si>
  <si>
    <t>POS</t>
  </si>
  <si>
    <t>SOC</t>
  </si>
  <si>
    <t>INT</t>
  </si>
  <si>
    <t>MPS</t>
  </si>
  <si>
    <t>UNI</t>
  </si>
  <si>
    <t>ABN</t>
  </si>
  <si>
    <t>RAB</t>
  </si>
  <si>
    <t>UK</t>
  </si>
  <si>
    <t>STC</t>
  </si>
  <si>
    <t>BAR</t>
  </si>
  <si>
    <t>HSB</t>
  </si>
  <si>
    <t>LOY</t>
  </si>
  <si>
    <t>NAT</t>
  </si>
  <si>
    <t>country</t>
  </si>
  <si>
    <t>bank</t>
  </si>
  <si>
    <t>bank name</t>
  </si>
  <si>
    <t>BBVA</t>
  </si>
  <si>
    <t>La Caixa</t>
  </si>
  <si>
    <t>Santander</t>
  </si>
  <si>
    <t>BNP Paribas</t>
  </si>
  <si>
    <t>Credit Agricole</t>
  </si>
  <si>
    <t>Credit Mutuel</t>
  </si>
  <si>
    <t>Banque Postale</t>
  </si>
  <si>
    <t>Societe Generale</t>
  </si>
  <si>
    <t>Intesa Sanpaolo</t>
  </si>
  <si>
    <t>Danske Bank</t>
  </si>
  <si>
    <t>Banca Monte dei Paschi di Siena</t>
  </si>
  <si>
    <t>ABN Amro</t>
  </si>
  <si>
    <t>Standard Chartered</t>
  </si>
  <si>
    <t>shortcode</t>
  </si>
  <si>
    <t>EBA small logo</t>
  </si>
  <si>
    <t>Bank name</t>
  </si>
  <si>
    <t>Produced  on:</t>
  </si>
  <si>
    <t>Complexity Indicators</t>
  </si>
  <si>
    <t>DnBNOR</t>
  </si>
  <si>
    <t>NOK</t>
  </si>
  <si>
    <t>https://www.dnb.no/om-oss/investor-relations/rapporter.html</t>
  </si>
  <si>
    <t>Es</t>
  </si>
  <si>
    <t>BE_KBC</t>
  </si>
  <si>
    <t>(million EUR)</t>
  </si>
  <si>
    <t xml:space="preserve">Size - Total Exposure </t>
  </si>
  <si>
    <t>http://www.santander.com/csgs/BlobServer?blobcol=urldata&amp;blobheadername1=content-type&amp;blobheadername2=Content-Disposition&amp;blobheadername3=MDT-Type&amp;blobheadervalue1=application/pdf&amp;leng=es_ES&amp;blobheadervalue2=inline%3B+filename%3D447\933\PresentacionvpublicaES.pdf&amp;blobheadervalue3=abinary%3B+charset%3DUTF-8&amp;blobkey=id&amp;blobnocache=true&amp;blobtable=MungoBlobs&amp;blobwhere=1278702323420</t>
  </si>
  <si>
    <t>6.a.CUR</t>
  </si>
  <si>
    <t>6.b.CUR</t>
  </si>
  <si>
    <t>6.c.CUR</t>
  </si>
  <si>
    <t>6.d.CUR</t>
  </si>
  <si>
    <t>6.e.CUR</t>
  </si>
  <si>
    <t>6.f.CUR</t>
  </si>
  <si>
    <t>6.g.CUR</t>
  </si>
  <si>
    <t>6.h.CUR</t>
  </si>
  <si>
    <t>6.i.CUR</t>
  </si>
  <si>
    <t>6.j.CUR</t>
  </si>
  <si>
    <t>6.k.CUR</t>
  </si>
  <si>
    <t>6.l.CUR</t>
  </si>
  <si>
    <t xml:space="preserve">http://accionistaseinversores.bbva.com/TLBB/fbinir/mult/Informacion_BBVA_GSIBs_Diciembre_2013_tcm926-461857.pdf </t>
  </si>
  <si>
    <t>http://www.erstegroup.com/en/Investors/RegDisclosure/G-SII</t>
  </si>
  <si>
    <t>http://nordea.com/gsib</t>
  </si>
  <si>
    <t>Not specified</t>
  </si>
  <si>
    <t>https://www.handelsbanken.se</t>
  </si>
  <si>
    <t>https://www.kbc.com</t>
  </si>
  <si>
    <t>https://www.unicreditgroup.eu/bilanci</t>
  </si>
  <si>
    <t>Amounts in EUR</t>
  </si>
  <si>
    <r>
      <t xml:space="preserve">OTC derivatives </t>
    </r>
    <r>
      <rPr>
        <sz val="15"/>
        <color theme="7" tint="0.79998168889431442"/>
        <rFont val="Calibri"/>
        <family val="2"/>
        <scheme val="minor"/>
      </rPr>
      <t>(RHS)</t>
    </r>
  </si>
  <si>
    <t>Checks</t>
  </si>
  <si>
    <t>Comments</t>
  </si>
  <si>
    <t>Remarks</t>
  </si>
  <si>
    <t>n. Ancillary data:</t>
  </si>
  <si>
    <t>(1) Receivables for cash collateral posted in derivatives transactions</t>
  </si>
  <si>
    <t>2.n.(1)</t>
  </si>
  <si>
    <t>(2) Net notional amount of credit derivatives</t>
  </si>
  <si>
    <t>2.n.(2)</t>
  </si>
  <si>
    <t>(3) Net notional amount of credit derivatives for entities in item 2.l.</t>
  </si>
  <si>
    <t>2.n.(3)</t>
  </si>
  <si>
    <t>(4) On and off-balance sheet exposures between entities included in item 2.l.</t>
  </si>
  <si>
    <t>2.n.(4)</t>
  </si>
  <si>
    <t>(5) On and off-balance sheet exposures of entities included in item 2.l. to entities consolidated for risk-based regulatory purposes</t>
  </si>
  <si>
    <t>2.n.(5)</t>
  </si>
  <si>
    <t>(6) On and off-balance sheet exposures of entities consolidated for risk-based regulatory purposes to entities included in item 2.l.</t>
  </si>
  <si>
    <t>2.n.(6)</t>
  </si>
  <si>
    <t>(7) Total exposures for the calculation of the leverage ratio (January 2014 definition)</t>
  </si>
  <si>
    <t>2.n.(7)</t>
  </si>
  <si>
    <t>f. Ancillary data:</t>
  </si>
  <si>
    <t>(1) Funds borrowed from other financial institutions</t>
  </si>
  <si>
    <t>4.f.(1)</t>
  </si>
  <si>
    <t>(2) Certificates of deposit included in items 4.a and 4.b</t>
  </si>
  <si>
    <t>4.f.(2)</t>
  </si>
  <si>
    <t>h. Ancillary data:</t>
  </si>
  <si>
    <t>(1) Book value of equities for which a market price is unavailable</t>
  </si>
  <si>
    <t>5.h.(1)</t>
  </si>
  <si>
    <t>(1) Mexican pesos</t>
  </si>
  <si>
    <t>6.m.(1)</t>
  </si>
  <si>
    <t>(2) New Zealand dollars</t>
  </si>
  <si>
    <t>6.m.(2)</t>
  </si>
  <si>
    <t>(3) Russian rubles</t>
  </si>
  <si>
    <t>6.m.(3)</t>
  </si>
  <si>
    <t>Complexity indicators</t>
  </si>
  <si>
    <t>e. Ancillary data:</t>
  </si>
  <si>
    <t>(1) Held-to-maturity securities</t>
  </si>
  <si>
    <t>10.e.(1)</t>
  </si>
  <si>
    <t>b. Ancillary data:</t>
  </si>
  <si>
    <t>(1) Foreign derivative claims on an ultimate risk basis</t>
  </si>
  <si>
    <t>12.b.(1)</t>
  </si>
  <si>
    <t>c. Ancillary data:</t>
  </si>
  <si>
    <t>(1) Foreign derivative liabilities on an ultimate risk basis</t>
  </si>
  <si>
    <t>13.c.(1)</t>
  </si>
  <si>
    <t>Section 14: Ancillary Indicators</t>
  </si>
  <si>
    <t>a. Total liabilities</t>
  </si>
  <si>
    <t>14.a.</t>
  </si>
  <si>
    <t>b. Retail funding</t>
  </si>
  <si>
    <t>14.b.</t>
  </si>
  <si>
    <t>c. Wholesale funding dependence ratio (the difference between items 14.a and 14.b, divided by 14.a)</t>
  </si>
  <si>
    <t>14.c.</t>
  </si>
  <si>
    <t>d. Foreign net revenue</t>
  </si>
  <si>
    <t>14.d.</t>
  </si>
  <si>
    <t>e. Total net revenue</t>
  </si>
  <si>
    <t>14.e.</t>
  </si>
  <si>
    <t>f. Total gross revenue</t>
  </si>
  <si>
    <t>14.f.</t>
  </si>
  <si>
    <t>g. Gross value of cash lent and gross fair value of securities lent in SFTs</t>
  </si>
  <si>
    <t>14.g.</t>
  </si>
  <si>
    <t>h. Gross value of cash borrowed and gross fair value of securities borrowed in SFTs</t>
  </si>
  <si>
    <t>14.h.</t>
  </si>
  <si>
    <t>i. Gross positive fair value of over-the-counter (OTC) derivatives transactions</t>
  </si>
  <si>
    <t>14.i.</t>
  </si>
  <si>
    <t>j. Gross negative fair value of OTC derivatives transactions</t>
  </si>
  <si>
    <t>14.j.</t>
  </si>
  <si>
    <t>Amount in single units</t>
  </si>
  <si>
    <t xml:space="preserve">k. Number of jurisdictions </t>
  </si>
  <si>
    <t>14.k.</t>
  </si>
  <si>
    <t>Section 15: Average Exchange Rates</t>
  </si>
  <si>
    <t>15.a.</t>
  </si>
  <si>
    <t>15.b.</t>
  </si>
  <si>
    <t>15.c.</t>
  </si>
  <si>
    <t>15.d.</t>
  </si>
  <si>
    <t>15.e.</t>
  </si>
  <si>
    <t>15.f.</t>
  </si>
  <si>
    <t>15.g.</t>
  </si>
  <si>
    <t>15.h.</t>
  </si>
  <si>
    <t>15.i.</t>
  </si>
  <si>
    <t>15.j.</t>
  </si>
  <si>
    <t>k. Mexican pesos</t>
  </si>
  <si>
    <t>15.k.</t>
  </si>
  <si>
    <t>l. New Zealand dollars</t>
  </si>
  <si>
    <t>15.l.</t>
  </si>
  <si>
    <t>m. Russian rubles</t>
  </si>
  <si>
    <t>15.m.</t>
  </si>
  <si>
    <t>n. Swedish krona</t>
  </si>
  <si>
    <t>15.n.</t>
  </si>
  <si>
    <t>o. United States dollars</t>
  </si>
  <si>
    <t>15.o.</t>
  </si>
  <si>
    <t>Checks Summary</t>
  </si>
  <si>
    <t>Section 16: Summary</t>
  </si>
  <si>
    <t>Indicator value</t>
  </si>
  <si>
    <t>in million EUR</t>
  </si>
  <si>
    <t>a. General information provided by the national supervisor (Item 1.a)</t>
  </si>
  <si>
    <t>16.a.</t>
  </si>
  <si>
    <t>b. General Information provided by the reporting institution (Item 1.b)</t>
  </si>
  <si>
    <t>16.b.</t>
  </si>
  <si>
    <t>Explanation of large changes from the previous year</t>
  </si>
  <si>
    <t>c. Total Exposures (Section 2)</t>
  </si>
  <si>
    <t>16.c.</t>
  </si>
  <si>
    <t>d. Intra-Financial System Assets (Section 3)</t>
  </si>
  <si>
    <t>16.d.</t>
  </si>
  <si>
    <t>e. Intra-Financial System Liabilities (Section 4)</t>
  </si>
  <si>
    <t>16.e.</t>
  </si>
  <si>
    <t>f. Securities Outstanding (Section 5)</t>
  </si>
  <si>
    <t>16.f.</t>
  </si>
  <si>
    <t>g. Payments Activity (Section 6)</t>
  </si>
  <si>
    <t>16.g.</t>
  </si>
  <si>
    <t>h. Assets Under Custody (Section 7)</t>
  </si>
  <si>
    <t>16.h.</t>
  </si>
  <si>
    <t>i. Underwritten Transactions in Debt and Equity Markets (Section 8)</t>
  </si>
  <si>
    <t>16.i.</t>
  </si>
  <si>
    <t>j. Notional Amount of OTC Derivatives (Section 9)</t>
  </si>
  <si>
    <t>16.j.</t>
  </si>
  <si>
    <t>k. Trading and AFS Securities (Section 10)</t>
  </si>
  <si>
    <t>16.k.</t>
  </si>
  <si>
    <t>l. Level 3 Assets (Section 11)</t>
  </si>
  <si>
    <t>16.l.</t>
  </si>
  <si>
    <t>m. Cross-Jurisdictional Claims (Section 12)</t>
  </si>
  <si>
    <t>16.m.</t>
  </si>
  <si>
    <t>n. Cross-Jurisdictional Liabilities (Section 13)</t>
  </si>
  <si>
    <t>16.n.</t>
  </si>
  <si>
    <t>o. Ancillary Indicators (Section 14)</t>
  </si>
  <si>
    <t>16.o.</t>
  </si>
  <si>
    <t>p. Average Exchange Rates (Section 15)</t>
  </si>
  <si>
    <t>16.p.</t>
  </si>
  <si>
    <t>https://www.ing.com</t>
  </si>
  <si>
    <t>http://www.barclays.com/content/dam/barclayspublic/docs/InvestorRelations/IRNewsPresentations/2014News/31-July-Barclays2013-G-SII-data-disclosure-template.xls</t>
  </si>
  <si>
    <t>DE</t>
  </si>
  <si>
    <t>BLB</t>
  </si>
  <si>
    <t>COM</t>
  </si>
  <si>
    <t>DZB</t>
  </si>
  <si>
    <t>HLB</t>
  </si>
  <si>
    <t>DEB</t>
  </si>
  <si>
    <t>LBW</t>
  </si>
  <si>
    <t>NLB</t>
  </si>
  <si>
    <t>NordLB</t>
  </si>
  <si>
    <t>Bayern LB</t>
  </si>
  <si>
    <t>Commerzbank</t>
  </si>
  <si>
    <t>Deutsche Bank</t>
  </si>
  <si>
    <t>DZ Bank</t>
  </si>
  <si>
    <t>Helaba</t>
  </si>
  <si>
    <t>LBBW</t>
  </si>
  <si>
    <t>BayernLB</t>
  </si>
  <si>
    <t>Deutsche</t>
  </si>
  <si>
    <t>DzBank</t>
  </si>
  <si>
    <t>http://www.bayernlb.de/internet/de/content/metanav/investor_relations/veroeffentlich_1/systemrelevanz_meldung/systemrelevanz_meldung.jsp</t>
  </si>
  <si>
    <t>https://www.commerzbank.de/media/aktionaere/fremdkapitalgeber/20140513_GSIB_Indikatoren.pdf</t>
  </si>
  <si>
    <t>https://www.db.com/ir/en/content/reports_2013.htm</t>
  </si>
  <si>
    <t>no disclosure</t>
  </si>
  <si>
    <t>https://www.helaba.de/de/DieHelaba/InvestorRelations/Regulierung/BuBa</t>
  </si>
  <si>
    <t>http://www.lbbw.de/en/investor_relations/finanzberichte/finanzberichte.jsp</t>
  </si>
  <si>
    <t>https://www.nordlb.com/fileadmin/redaktion_en/branchen/investorrelations/Systemic_Importance_Announcement_31-Dec-2013.pdf</t>
  </si>
  <si>
    <t>DE_BLB</t>
  </si>
  <si>
    <t>DE_COM</t>
  </si>
  <si>
    <t>DE_DZB</t>
  </si>
  <si>
    <t>DE_HLB</t>
  </si>
  <si>
    <t>DE_LBW</t>
  </si>
  <si>
    <t>DE_NLB</t>
  </si>
  <si>
    <t>DE_DEB</t>
  </si>
  <si>
    <t>in reporting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</si>
</sst>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_-;\-* #,##0.00_-;_-* &quot;-&quot;??_-;_-@_-"/>
    <numFmt numFmtId="164" formatCode="yyyy\-mm\-dd"/>
    <numFmt numFmtId="165" formatCode="_(* #,##0_);_(* \(#,##0\);_(* &quot;-&quot;??_);_(@_)"/>
    <numFmt numFmtId="166" formatCode="[$AUD]\ #,##0"/>
    <numFmt numFmtId="167" formatCode="[$BRL]\ #,##0"/>
    <numFmt numFmtId="168" formatCode="[$CAD]\ #,##0"/>
    <numFmt numFmtId="169" formatCode="[$CHF]\ #,##0"/>
    <numFmt numFmtId="170" formatCode="[$CNY]\ #,##0"/>
    <numFmt numFmtId="171" formatCode="[$EUR]\ #,##0"/>
    <numFmt numFmtId="172" formatCode="[$GBP]\ #,##0"/>
    <numFmt numFmtId="173" formatCode="[$HKD]\ #,##0"/>
    <numFmt numFmtId="174" formatCode="[$INR]\ #,##0"/>
    <numFmt numFmtId="175" formatCode="[$JPY]\ #,##0"/>
    <numFmt numFmtId="176" formatCode="[$SEK]\ #,##0"/>
    <numFmt numFmtId="177" formatCode="[$USD]\ #,##0"/>
    <numFmt numFmtId="178" formatCode="0.0000"/>
    <numFmt numFmtId="179" formatCode="###\ ###\ ##0"/>
    <numFmt numFmtId="180" formatCode="###\ ###\ ###\ ###\ ##0"/>
    <numFmt numFmtId="181" formatCode="###\ ###\ ###\ ##0"/>
    <numFmt numFmtId="182" formatCode="_(* #,##0.00_);_(* \(#,##0.00\);_(* &quot;-&quot;??_);_(@_)"/>
    <numFmt numFmtId="183" formatCode="[$MXN]\ #,##0"/>
    <numFmt numFmtId="184" formatCode="[$NZD]\ #,##0"/>
    <numFmt numFmtId="185" formatCode="[$RUB]\ #,##0"/>
    <numFmt numFmtId="186" formatCode="#,##0.000000"/>
    <numFmt numFmtId="187" formatCode="[$€-2]\ #,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7" tint="0.79998168889431442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name val="Wingdings"/>
      <charset val="2"/>
    </font>
    <font>
      <u/>
      <sz val="10"/>
      <color theme="1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45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3">
      <alignment horizontal="left" vertical="center" indent="1"/>
    </xf>
    <xf numFmtId="3" fontId="5" fillId="8" borderId="12">
      <alignment horizontal="right" vertical="center"/>
      <protection locked="0"/>
    </xf>
    <xf numFmtId="3" fontId="5" fillId="0" borderId="5">
      <alignment horizontal="right" vertical="center"/>
    </xf>
    <xf numFmtId="3" fontId="5" fillId="6" borderId="12">
      <alignment horizontal="right" vertical="center"/>
    </xf>
    <xf numFmtId="0" fontId="5" fillId="4" borderId="0" applyFont="0" applyBorder="0"/>
    <xf numFmtId="43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5" fillId="8" borderId="12">
      <alignment horizontal="left" vertical="center" indent="1"/>
    </xf>
    <xf numFmtId="0" fontId="6" fillId="8" borderId="12">
      <alignment horizontal="center" vertical="center"/>
    </xf>
    <xf numFmtId="0" fontId="20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8" fillId="4" borderId="6" applyNumberFormat="0" applyFill="0" applyBorder="0" applyAlignment="0" applyProtection="0">
      <alignment horizontal="left"/>
    </xf>
    <xf numFmtId="182" fontId="5" fillId="0" borderId="0" applyFont="0" applyFill="0" applyBorder="0" applyAlignment="0" applyProtection="0"/>
  </cellStyleXfs>
  <cellXfs count="598">
    <xf numFmtId="0" fontId="0" fillId="0" borderId="0" xfId="0"/>
    <xf numFmtId="0" fontId="7" fillId="0" borderId="0" xfId="0" applyFont="1"/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 applyProtection="1">
      <alignment horizontal="center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 applyProtection="1">
      <alignment horizontal="right" vertical="center"/>
    </xf>
    <xf numFmtId="0" fontId="12" fillId="4" borderId="6" xfId="8" applyFont="1" applyFill="1" applyBorder="1" applyAlignment="1" applyProtection="1">
      <alignment horizontal="left" vertical="center"/>
    </xf>
    <xf numFmtId="49" fontId="12" fillId="4" borderId="13" xfId="8" applyNumberFormat="1" applyFont="1" applyFill="1" applyBorder="1" applyAlignment="1" applyProtection="1">
      <alignment horizontal="left" vertical="center" indent="2"/>
    </xf>
    <xf numFmtId="49" fontId="12" fillId="4" borderId="14" xfId="8" applyNumberFormat="1" applyFont="1" applyFill="1" applyBorder="1" applyAlignment="1" applyProtection="1">
      <alignment horizontal="left" vertical="center" indent="2"/>
    </xf>
    <xf numFmtId="0" fontId="12" fillId="6" borderId="15" xfId="8" applyFont="1" applyFill="1" applyBorder="1" applyAlignment="1" applyProtection="1">
      <alignment vertical="center"/>
    </xf>
    <xf numFmtId="49" fontId="12" fillId="4" borderId="13" xfId="8" applyNumberFormat="1" applyFont="1" applyBorder="1" applyAlignment="1" applyProtection="1">
      <alignment horizontal="left" vertical="center" indent="2"/>
    </xf>
    <xf numFmtId="49" fontId="12" fillId="4" borderId="14" xfId="8" applyNumberFormat="1" applyFont="1" applyBorder="1" applyAlignment="1" applyProtection="1">
      <alignment horizontal="left" vertical="center" indent="2"/>
    </xf>
    <xf numFmtId="0" fontId="12" fillId="4" borderId="15" xfId="8" applyFont="1" applyBorder="1" applyAlignment="1" applyProtection="1">
      <alignment vertical="center"/>
    </xf>
    <xf numFmtId="0" fontId="12" fillId="6" borderId="15" xfId="8" applyFont="1" applyFill="1" applyBorder="1" applyAlignment="1" applyProtection="1">
      <alignment horizontal="center" vertical="center"/>
    </xf>
    <xf numFmtId="49" fontId="12" fillId="4" borderId="16" xfId="8" applyNumberFormat="1" applyFont="1" applyBorder="1" applyAlignment="1" applyProtection="1">
      <alignment horizontal="left" vertical="center" indent="2"/>
    </xf>
    <xf numFmtId="49" fontId="12" fillId="4" borderId="17" xfId="8" applyNumberFormat="1" applyFont="1" applyBorder="1" applyAlignment="1" applyProtection="1">
      <alignment horizontal="left" vertical="center" indent="2"/>
    </xf>
    <xf numFmtId="0" fontId="12" fillId="4" borderId="18" xfId="8" applyFont="1" applyBorder="1" applyAlignment="1" applyProtection="1">
      <alignment vertical="center"/>
    </xf>
    <xf numFmtId="0" fontId="12" fillId="6" borderId="19" xfId="8" applyFont="1" applyFill="1" applyBorder="1" applyAlignment="1" applyProtection="1">
      <alignment horizontal="left" vertical="center" indent="1"/>
    </xf>
    <xf numFmtId="0" fontId="12" fillId="6" borderId="10" xfId="8" applyFont="1" applyFill="1" applyBorder="1" applyAlignment="1" applyProtection="1">
      <alignment horizontal="left" vertical="center" indent="1"/>
    </xf>
    <xf numFmtId="0" fontId="12" fillId="6" borderId="13" xfId="8" applyFont="1" applyFill="1" applyBorder="1" applyAlignment="1" applyProtection="1">
      <alignment horizontal="left" vertical="center" indent="1"/>
    </xf>
    <xf numFmtId="0" fontId="12" fillId="6" borderId="14" xfId="8" applyFont="1" applyFill="1" applyBorder="1" applyAlignment="1" applyProtection="1">
      <alignment horizontal="left" vertical="center" indent="1"/>
    </xf>
    <xf numFmtId="0" fontId="12" fillId="4" borderId="15" xfId="8" applyFont="1" applyBorder="1" applyAlignment="1" applyProtection="1">
      <alignment vertical="center" wrapText="1"/>
    </xf>
    <xf numFmtId="0" fontId="12" fillId="6" borderId="13" xfId="8" applyFont="1" applyFill="1" applyBorder="1" applyAlignment="1" applyProtection="1">
      <alignment horizontal="left" vertical="center" indent="2"/>
    </xf>
    <xf numFmtId="0" fontId="12" fillId="6" borderId="14" xfId="8" applyFont="1" applyFill="1" applyBorder="1" applyAlignment="1" applyProtection="1">
      <alignment horizontal="left" vertical="center" indent="2"/>
    </xf>
    <xf numFmtId="0" fontId="12" fillId="0" borderId="13" xfId="8" applyFont="1" applyFill="1" applyBorder="1" applyAlignment="1" applyProtection="1">
      <alignment horizontal="left" vertical="center" indent="1"/>
    </xf>
    <xf numFmtId="0" fontId="12" fillId="0" borderId="14" xfId="8" applyFont="1" applyFill="1" applyBorder="1" applyAlignment="1" applyProtection="1">
      <alignment horizontal="left" vertical="center" indent="1"/>
    </xf>
    <xf numFmtId="0" fontId="12" fillId="0" borderId="14" xfId="8" applyFont="1" applyFill="1" applyBorder="1" applyAlignment="1" applyProtection="1">
      <alignment vertical="center"/>
    </xf>
    <xf numFmtId="0" fontId="12" fillId="6" borderId="22" xfId="8" applyFont="1" applyFill="1" applyBorder="1" applyAlignment="1" applyProtection="1">
      <alignment horizontal="left" vertical="center" indent="1"/>
    </xf>
    <xf numFmtId="0" fontId="12" fillId="6" borderId="23" xfId="8" applyFont="1" applyFill="1" applyBorder="1" applyAlignment="1" applyProtection="1">
      <alignment vertical="center"/>
    </xf>
    <xf numFmtId="0" fontId="12" fillId="0" borderId="13" xfId="8" applyFont="1" applyFill="1" applyBorder="1" applyAlignment="1" applyProtection="1">
      <alignment horizontal="left" vertical="center" indent="2"/>
    </xf>
    <xf numFmtId="0" fontId="12" fillId="0" borderId="14" xfId="8" applyFont="1" applyFill="1" applyBorder="1" applyAlignment="1" applyProtection="1">
      <alignment horizontal="left" vertical="center" indent="2"/>
    </xf>
    <xf numFmtId="0" fontId="12" fillId="6" borderId="16" xfId="8" applyFont="1" applyFill="1" applyBorder="1" applyAlignment="1" applyProtection="1">
      <alignment horizontal="left" vertical="center" indent="2"/>
    </xf>
    <xf numFmtId="0" fontId="12" fillId="6" borderId="17" xfId="8" applyFont="1" applyFill="1" applyBorder="1" applyAlignment="1" applyProtection="1">
      <alignment horizontal="left" vertical="center" indent="2"/>
    </xf>
    <xf numFmtId="0" fontId="12" fillId="6" borderId="18" xfId="8" applyFont="1" applyFill="1" applyBorder="1" applyAlignment="1" applyProtection="1">
      <alignment vertical="center"/>
    </xf>
    <xf numFmtId="0" fontId="12" fillId="6" borderId="23" xfId="8" applyFont="1" applyFill="1" applyBorder="1" applyAlignment="1" applyProtection="1">
      <alignment horizontal="center" vertical="center"/>
    </xf>
    <xf numFmtId="0" fontId="12" fillId="0" borderId="16" xfId="8" applyFont="1" applyFill="1" applyBorder="1" applyAlignment="1" applyProtection="1">
      <alignment horizontal="left" vertical="center" indent="1"/>
    </xf>
    <xf numFmtId="0" fontId="12" fillId="0" borderId="17" xfId="8" applyFont="1" applyFill="1" applyBorder="1" applyAlignment="1" applyProtection="1">
      <alignment horizontal="left" vertical="center" indent="1"/>
    </xf>
    <xf numFmtId="0" fontId="12" fillId="6" borderId="9" xfId="8" applyFont="1" applyFill="1" applyBorder="1" applyAlignment="1" applyProtection="1">
      <alignment horizontal="left" vertical="center" indent="1"/>
    </xf>
    <xf numFmtId="0" fontId="12" fillId="6" borderId="11" xfId="8" applyFont="1" applyFill="1" applyBorder="1" applyAlignment="1" applyProtection="1">
      <alignment vertical="center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3" fillId="14" borderId="32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22" fontId="7" fillId="0" borderId="0" xfId="0" applyNumberFormat="1" applyFont="1" applyAlignment="1" applyProtection="1">
      <alignment horizontal="right" vertical="top" wrapText="1"/>
    </xf>
    <xf numFmtId="0" fontId="0" fillId="0" borderId="0" xfId="0" applyBorder="1"/>
    <xf numFmtId="0" fontId="0" fillId="0" borderId="0" xfId="0" applyFill="1" applyBorder="1"/>
    <xf numFmtId="0" fontId="19" fillId="16" borderId="0" xfId="0" applyFont="1" applyFill="1" applyBorder="1"/>
    <xf numFmtId="14" fontId="20" fillId="8" borderId="12" xfId="14" applyNumberFormat="1" applyFill="1" applyBorder="1" applyAlignment="1" applyProtection="1">
      <alignment horizontal="left" vertical="top" wrapText="1"/>
      <protection hidden="1"/>
    </xf>
    <xf numFmtId="0" fontId="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7" fillId="19" borderId="0" xfId="0" applyFont="1" applyFill="1" applyAlignment="1" applyProtection="1">
      <alignment horizontal="center"/>
      <protection hidden="1"/>
    </xf>
    <xf numFmtId="0" fontId="7" fillId="19" borderId="0" xfId="0" applyFont="1" applyFill="1" applyAlignment="1" applyProtection="1">
      <alignment horizontal="left"/>
      <protection hidden="1"/>
    </xf>
    <xf numFmtId="0" fontId="7" fillId="19" borderId="0" xfId="0" applyFont="1" applyFill="1" applyProtection="1"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10" fillId="3" borderId="3" xfId="4" applyFont="1" applyProtection="1">
      <alignment horizontal="left" vertical="center" indent="1"/>
      <protection hidden="1"/>
    </xf>
    <xf numFmtId="0" fontId="10" fillId="3" borderId="4" xfId="0" applyFont="1" applyFill="1" applyBorder="1" applyAlignment="1" applyProtection="1">
      <alignment horizontal="left" vertical="center"/>
      <protection hidden="1"/>
    </xf>
    <xf numFmtId="0" fontId="10" fillId="3" borderId="5" xfId="0" applyFont="1" applyFill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19" borderId="0" xfId="0" applyFont="1" applyFill="1" applyAlignment="1" applyProtection="1">
      <alignment horizontal="center" vertical="center"/>
      <protection hidden="1"/>
    </xf>
    <xf numFmtId="0" fontId="11" fillId="4" borderId="6" xfId="0" applyFont="1" applyFill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 indent="1"/>
      <protection hidden="1"/>
    </xf>
    <xf numFmtId="49" fontId="7" fillId="0" borderId="0" xfId="0" applyNumberFormat="1" applyFont="1" applyBorder="1" applyAlignment="1" applyProtection="1">
      <alignment horizontal="left" vertical="center" indent="1"/>
      <protection hidden="1"/>
    </xf>
    <xf numFmtId="0" fontId="7" fillId="0" borderId="7" xfId="0" applyFont="1" applyBorder="1" applyAlignment="1" applyProtection="1">
      <alignment vertical="center"/>
      <protection hidden="1"/>
    </xf>
    <xf numFmtId="0" fontId="7" fillId="19" borderId="0" xfId="0" applyFont="1" applyFill="1" applyAlignment="1" applyProtection="1">
      <alignment horizontal="left" vertical="center"/>
      <protection hidden="1"/>
    </xf>
    <xf numFmtId="49" fontId="10" fillId="5" borderId="3" xfId="0" applyNumberFormat="1" applyFont="1" applyFill="1" applyBorder="1" applyAlignment="1" applyProtection="1">
      <alignment horizontal="left" vertical="center"/>
      <protection hidden="1"/>
    </xf>
    <xf numFmtId="49" fontId="10" fillId="5" borderId="4" xfId="0" applyNumberFormat="1" applyFont="1" applyFill="1" applyBorder="1" applyAlignment="1" applyProtection="1">
      <alignment horizontal="left" vertical="center"/>
      <protection hidden="1"/>
    </xf>
    <xf numFmtId="0" fontId="11" fillId="5" borderId="5" xfId="0" applyFont="1" applyFill="1" applyBorder="1" applyAlignment="1" applyProtection="1">
      <alignment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49" fontId="7" fillId="0" borderId="0" xfId="0" applyNumberFormat="1" applyFont="1" applyFill="1" applyBorder="1" applyAlignment="1" applyProtection="1">
      <alignment horizontal="left" vertical="center" indent="1"/>
      <protection hidden="1"/>
    </xf>
    <xf numFmtId="0" fontId="11" fillId="19" borderId="0" xfId="8" applyFont="1" applyFill="1" applyAlignment="1" applyProtection="1">
      <alignment horizontal="center" vertical="center"/>
      <protection hidden="1"/>
    </xf>
    <xf numFmtId="49" fontId="7" fillId="4" borderId="9" xfId="0" applyNumberFormat="1" applyFont="1" applyFill="1" applyBorder="1" applyAlignment="1" applyProtection="1">
      <alignment horizontal="left" vertical="center" indent="1"/>
      <protection hidden="1"/>
    </xf>
    <xf numFmtId="49" fontId="7" fillId="4" borderId="10" xfId="0" applyNumberFormat="1" applyFont="1" applyFill="1" applyBorder="1" applyAlignment="1" applyProtection="1">
      <alignment horizontal="left" vertical="center" indent="1"/>
      <protection hidden="1"/>
    </xf>
    <xf numFmtId="0" fontId="11" fillId="6" borderId="11" xfId="0" applyFont="1" applyFill="1" applyBorder="1" applyAlignment="1" applyProtection="1">
      <alignment vertical="center"/>
      <protection hidden="1"/>
    </xf>
    <xf numFmtId="49" fontId="7" fillId="5" borderId="12" xfId="0" applyNumberFormat="1" applyFont="1" applyFill="1" applyBorder="1" applyAlignment="1" applyProtection="1">
      <alignment horizontal="left" vertical="center" indent="1"/>
      <protection hidden="1"/>
    </xf>
    <xf numFmtId="49" fontId="7" fillId="4" borderId="13" xfId="0" applyNumberFormat="1" applyFont="1" applyFill="1" applyBorder="1" applyAlignment="1" applyProtection="1">
      <alignment horizontal="left" vertical="center" indent="2"/>
      <protection hidden="1"/>
    </xf>
    <xf numFmtId="49" fontId="7" fillId="4" borderId="14" xfId="0" applyNumberFormat="1" applyFont="1" applyFill="1" applyBorder="1" applyAlignment="1" applyProtection="1">
      <alignment horizontal="left" vertical="center" indent="2"/>
      <protection hidden="1"/>
    </xf>
    <xf numFmtId="0" fontId="11" fillId="6" borderId="15" xfId="0" applyFont="1" applyFill="1" applyBorder="1" applyAlignment="1" applyProtection="1">
      <alignment vertical="center"/>
      <protection hidden="1"/>
    </xf>
    <xf numFmtId="0" fontId="7" fillId="8" borderId="12" xfId="0" applyFont="1" applyFill="1" applyBorder="1" applyAlignment="1" applyProtection="1">
      <alignment horizontal="center" vertical="center"/>
      <protection hidden="1"/>
    </xf>
    <xf numFmtId="49" fontId="7" fillId="4" borderId="13" xfId="0" applyNumberFormat="1" applyFont="1" applyFill="1" applyBorder="1" applyAlignment="1" applyProtection="1">
      <alignment horizontal="left" vertical="center" indent="1"/>
      <protection hidden="1"/>
    </xf>
    <xf numFmtId="49" fontId="7" fillId="4" borderId="14" xfId="0" applyNumberFormat="1" applyFont="1" applyFill="1" applyBorder="1" applyAlignment="1" applyProtection="1">
      <alignment horizontal="left" vertical="center" indent="1"/>
      <protection hidden="1"/>
    </xf>
    <xf numFmtId="14" fontId="11" fillId="6" borderId="15" xfId="0" applyNumberFormat="1" applyFont="1" applyFill="1" applyBorder="1" applyAlignment="1" applyProtection="1">
      <alignment horizontal="right" vertical="center"/>
      <protection hidden="1"/>
    </xf>
    <xf numFmtId="14" fontId="7" fillId="8" borderId="12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13" xfId="0" applyNumberFormat="1" applyFont="1" applyBorder="1" applyAlignment="1" applyProtection="1">
      <alignment horizontal="left" vertical="center" indent="2"/>
      <protection hidden="1"/>
    </xf>
    <xf numFmtId="49" fontId="7" fillId="0" borderId="14" xfId="0" applyNumberFormat="1" applyFont="1" applyBorder="1" applyAlignment="1" applyProtection="1">
      <alignment horizontal="left" vertical="center" indent="2"/>
      <protection hidden="1"/>
    </xf>
    <xf numFmtId="0" fontId="11" fillId="6" borderId="15" xfId="0" applyNumberFormat="1" applyFont="1" applyFill="1" applyBorder="1" applyAlignment="1" applyProtection="1">
      <alignment horizontal="right" vertical="center"/>
      <protection hidden="1"/>
    </xf>
    <xf numFmtId="178" fontId="7" fillId="8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15" xfId="0" applyFont="1" applyFill="1" applyBorder="1" applyAlignment="1" applyProtection="1">
      <alignment horizontal="right" vertical="center"/>
      <protection hidden="1"/>
    </xf>
    <xf numFmtId="179" fontId="7" fillId="8" borderId="12" xfId="1" applyNumberFormat="1" applyFont="1" applyFill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top"/>
      <protection hidden="1"/>
    </xf>
    <xf numFmtId="0" fontId="11" fillId="4" borderId="6" xfId="0" applyFont="1" applyFill="1" applyBorder="1" applyAlignment="1" applyProtection="1">
      <alignment horizontal="left" vertical="top"/>
      <protection hidden="1"/>
    </xf>
    <xf numFmtId="49" fontId="7" fillId="0" borderId="17" xfId="0" applyNumberFormat="1" applyFont="1" applyBorder="1" applyAlignment="1" applyProtection="1">
      <alignment horizontal="left" vertical="top"/>
      <protection hidden="1"/>
    </xf>
    <xf numFmtId="0" fontId="11" fillId="0" borderId="18" xfId="0" applyFont="1" applyBorder="1" applyAlignment="1" applyProtection="1">
      <alignment horizontal="right" vertical="top"/>
      <protection hidden="1"/>
    </xf>
    <xf numFmtId="0" fontId="7" fillId="0" borderId="7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7" fillId="19" borderId="0" xfId="0" applyFont="1" applyFill="1" applyAlignment="1" applyProtection="1">
      <alignment vertical="top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49" fontId="7" fillId="0" borderId="0" xfId="0" applyNumberFormat="1" applyFont="1" applyFill="1" applyBorder="1" applyAlignment="1" applyProtection="1">
      <alignment horizontal="left" vertical="center"/>
      <protection hidden="1"/>
    </xf>
    <xf numFmtId="0" fontId="11" fillId="4" borderId="6" xfId="0" applyFont="1" applyFill="1" applyBorder="1" applyAlignment="1" applyProtection="1">
      <alignment vertical="center"/>
      <protection hidden="1"/>
    </xf>
    <xf numFmtId="0" fontId="7" fillId="6" borderId="19" xfId="0" applyFont="1" applyFill="1" applyBorder="1" applyAlignment="1" applyProtection="1">
      <alignment horizontal="left" vertical="center" indent="1"/>
      <protection hidden="1"/>
    </xf>
    <xf numFmtId="0" fontId="7" fillId="6" borderId="10" xfId="0" applyFont="1" applyFill="1" applyBorder="1" applyAlignment="1" applyProtection="1">
      <alignment horizontal="left" vertical="center" indent="1"/>
      <protection hidden="1"/>
    </xf>
    <xf numFmtId="0" fontId="7" fillId="6" borderId="15" xfId="0" applyFont="1" applyFill="1" applyBorder="1" applyAlignment="1" applyProtection="1">
      <alignment vertical="center"/>
      <protection hidden="1"/>
    </xf>
    <xf numFmtId="181" fontId="11" fillId="8" borderId="12" xfId="1" applyNumberFormat="1" applyFont="1" applyFill="1" applyBorder="1" applyAlignment="1" applyProtection="1">
      <alignment horizontal="right" vertical="center"/>
      <protection hidden="1"/>
    </xf>
    <xf numFmtId="0" fontId="7" fillId="6" borderId="13" xfId="0" applyFont="1" applyFill="1" applyBorder="1" applyAlignment="1" applyProtection="1">
      <alignment horizontal="left" vertical="center" indent="1"/>
      <protection hidden="1"/>
    </xf>
    <xf numFmtId="0" fontId="7" fillId="6" borderId="14" xfId="0" applyFont="1" applyFill="1" applyBorder="1" applyAlignment="1" applyProtection="1">
      <alignment horizontal="left" vertical="center" indent="1"/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6" borderId="6" xfId="0" applyFont="1" applyFill="1" applyBorder="1" applyAlignment="1" applyProtection="1">
      <alignment vertical="center"/>
      <protection hidden="1"/>
    </xf>
    <xf numFmtId="0" fontId="7" fillId="6" borderId="13" xfId="0" applyFont="1" applyFill="1" applyBorder="1" applyAlignment="1" applyProtection="1">
      <alignment horizontal="left" vertical="center" indent="2"/>
      <protection hidden="1"/>
    </xf>
    <xf numFmtId="0" fontId="7" fillId="6" borderId="14" xfId="0" applyFont="1" applyFill="1" applyBorder="1" applyAlignment="1" applyProtection="1">
      <alignment horizontal="left" vertical="center" indent="2"/>
      <protection hidden="1"/>
    </xf>
    <xf numFmtId="0" fontId="7" fillId="0" borderId="13" xfId="0" applyFont="1" applyFill="1" applyBorder="1" applyAlignment="1" applyProtection="1">
      <alignment horizontal="left" vertical="center" indent="1"/>
      <protection hidden="1"/>
    </xf>
    <xf numFmtId="0" fontId="7" fillId="0" borderId="14" xfId="0" applyFont="1" applyFill="1" applyBorder="1" applyAlignment="1" applyProtection="1">
      <alignment horizontal="left" vertical="center" indent="1"/>
      <protection hidden="1"/>
    </xf>
    <xf numFmtId="0" fontId="11" fillId="0" borderId="14" xfId="0" applyFont="1" applyFill="1" applyBorder="1" applyAlignment="1" applyProtection="1">
      <alignment vertical="center"/>
      <protection hidden="1"/>
    </xf>
    <xf numFmtId="181" fontId="11" fillId="0" borderId="12" xfId="0" applyNumberFormat="1" applyFont="1" applyFill="1" applyBorder="1" applyAlignment="1" applyProtection="1">
      <alignment horizontal="right" vertical="center"/>
      <protection hidden="1"/>
    </xf>
    <xf numFmtId="181" fontId="11" fillId="8" borderId="12" xfId="5" applyNumberFormat="1" applyFont="1" applyBorder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left" vertical="center" indent="1"/>
      <protection hidden="1"/>
    </xf>
    <xf numFmtId="0" fontId="7" fillId="6" borderId="10" xfId="0" applyFont="1" applyFill="1" applyBorder="1" applyAlignment="1" applyProtection="1">
      <alignment vertical="center" wrapText="1"/>
      <protection hidden="1"/>
    </xf>
    <xf numFmtId="0" fontId="7" fillId="6" borderId="11" xfId="0" applyFont="1" applyFill="1" applyBorder="1" applyAlignment="1" applyProtection="1">
      <alignment vertical="center" wrapText="1"/>
      <protection hidden="1"/>
    </xf>
    <xf numFmtId="181" fontId="11" fillId="0" borderId="12" xfId="6" applyNumberFormat="1" applyFont="1" applyBorder="1" applyProtection="1">
      <alignment horizontal="right" vertical="center"/>
      <protection hidden="1"/>
    </xf>
    <xf numFmtId="181" fontId="7" fillId="5" borderId="12" xfId="0" applyNumberFormat="1" applyFont="1" applyFill="1" applyBorder="1" applyAlignment="1" applyProtection="1">
      <alignment horizontal="left" vertical="center" indent="1"/>
      <protection hidden="1"/>
    </xf>
    <xf numFmtId="0" fontId="10" fillId="6" borderId="6" xfId="2" applyFont="1" applyFill="1" applyBorder="1" applyAlignment="1" applyProtection="1">
      <alignment horizontal="left" vertical="center"/>
      <protection hidden="1"/>
    </xf>
    <xf numFmtId="0" fontId="10" fillId="4" borderId="6" xfId="2" applyFont="1" applyFill="1" applyBorder="1" applyAlignment="1" applyProtection="1">
      <alignment horizontal="left" vertical="center"/>
      <protection hidden="1"/>
    </xf>
    <xf numFmtId="180" fontId="11" fillId="6" borderId="12" xfId="7" applyNumberFormat="1" applyFont="1" applyBorder="1" applyProtection="1">
      <alignment horizontal="right" vertical="center"/>
      <protection hidden="1"/>
    </xf>
    <xf numFmtId="0" fontId="11" fillId="4" borderId="8" xfId="0" applyFont="1" applyFill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horizontal="left" vertical="center" indent="1"/>
      <protection hidden="1"/>
    </xf>
    <xf numFmtId="0" fontId="11" fillId="0" borderId="20" xfId="0" applyFont="1" applyBorder="1" applyAlignment="1" applyProtection="1">
      <alignment vertical="center"/>
      <protection hidden="1"/>
    </xf>
    <xf numFmtId="180" fontId="11" fillId="0" borderId="20" xfId="0" applyNumberFormat="1" applyFont="1" applyBorder="1" applyAlignment="1" applyProtection="1">
      <alignment horizontal="right" vertical="center"/>
      <protection hidden="1"/>
    </xf>
    <xf numFmtId="49" fontId="11" fillId="0" borderId="20" xfId="0" applyNumberFormat="1" applyFont="1" applyBorder="1" applyAlignment="1" applyProtection="1">
      <alignment horizontal="left" vertical="center" indent="1"/>
      <protection hidden="1"/>
    </xf>
    <xf numFmtId="0" fontId="7" fillId="0" borderId="21" xfId="0" applyFont="1" applyBorder="1" applyAlignment="1" applyProtection="1">
      <alignment vertical="center"/>
      <protection hidden="1"/>
    </xf>
    <xf numFmtId="180" fontId="10" fillId="3" borderId="4" xfId="0" applyNumberFormat="1" applyFont="1" applyFill="1" applyBorder="1" applyAlignment="1" applyProtection="1">
      <alignment horizontal="left" vertical="center"/>
      <protection hidden="1"/>
    </xf>
    <xf numFmtId="0" fontId="10" fillId="6" borderId="6" xfId="2" applyFont="1" applyFill="1" applyBorder="1" applyAlignment="1" applyProtection="1">
      <alignment horizontal="left" vertical="center" indent="1"/>
      <protection hidden="1"/>
    </xf>
    <xf numFmtId="0" fontId="8" fillId="6" borderId="0" xfId="2" applyFont="1" applyFill="1" applyBorder="1" applyAlignment="1" applyProtection="1">
      <alignment horizontal="left" vertical="center" indent="1"/>
      <protection hidden="1"/>
    </xf>
    <xf numFmtId="0" fontId="8" fillId="4" borderId="0" xfId="2" applyFont="1" applyFill="1" applyBorder="1" applyAlignment="1" applyProtection="1">
      <alignment horizontal="left" vertical="center"/>
      <protection hidden="1"/>
    </xf>
    <xf numFmtId="180" fontId="8" fillId="4" borderId="0" xfId="2" applyNumberFormat="1" applyFont="1" applyFill="1" applyBorder="1" applyAlignment="1" applyProtection="1">
      <alignment vertical="center"/>
      <protection hidden="1"/>
    </xf>
    <xf numFmtId="49" fontId="8" fillId="6" borderId="0" xfId="2" applyNumberFormat="1" applyFont="1" applyFill="1" applyBorder="1" applyAlignment="1" applyProtection="1">
      <alignment horizontal="left" vertical="center" indent="1"/>
      <protection hidden="1"/>
    </xf>
    <xf numFmtId="180" fontId="10" fillId="0" borderId="20" xfId="0" applyNumberFormat="1" applyFont="1" applyBorder="1" applyAlignment="1" applyProtection="1">
      <alignment horizontal="center" vertical="center" wrapText="1"/>
      <protection hidden="1"/>
    </xf>
    <xf numFmtId="0" fontId="11" fillId="4" borderId="6" xfId="2" applyFont="1" applyFill="1" applyBorder="1" applyAlignment="1" applyProtection="1">
      <alignment horizontal="left" vertical="center"/>
      <protection hidden="1"/>
    </xf>
    <xf numFmtId="0" fontId="7" fillId="6" borderId="22" xfId="0" applyFont="1" applyFill="1" applyBorder="1" applyAlignment="1" applyProtection="1">
      <alignment horizontal="left" vertical="center" indent="1"/>
      <protection hidden="1"/>
    </xf>
    <xf numFmtId="0" fontId="7" fillId="6" borderId="23" xfId="0" applyFont="1" applyFill="1" applyBorder="1" applyAlignment="1" applyProtection="1">
      <alignment vertical="center"/>
      <protection hidden="1"/>
    </xf>
    <xf numFmtId="180" fontId="11" fillId="8" borderId="12" xfId="5" applyNumberFormat="1" applyFont="1" applyBorder="1" applyProtection="1">
      <alignment horizontal="righ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180" fontId="7" fillId="5" borderId="12" xfId="0" applyNumberFormat="1" applyFont="1" applyFill="1" applyBorder="1" applyAlignment="1" applyProtection="1">
      <alignment horizontal="left" vertical="center" indent="1"/>
      <protection hidden="1"/>
    </xf>
    <xf numFmtId="0" fontId="7" fillId="0" borderId="13" xfId="0" applyFont="1" applyFill="1" applyBorder="1" applyAlignment="1" applyProtection="1">
      <alignment horizontal="left" vertical="center" indent="2"/>
      <protection hidden="1"/>
    </xf>
    <xf numFmtId="0" fontId="7" fillId="0" borderId="14" xfId="0" applyFont="1" applyFill="1" applyBorder="1" applyAlignment="1" applyProtection="1">
      <alignment horizontal="left" vertical="center" indent="2"/>
      <protection hidden="1"/>
    </xf>
    <xf numFmtId="0" fontId="7" fillId="6" borderId="16" xfId="0" applyFont="1" applyFill="1" applyBorder="1" applyAlignment="1" applyProtection="1">
      <alignment horizontal="left" vertical="center" indent="2"/>
      <protection hidden="1"/>
    </xf>
    <xf numFmtId="0" fontId="7" fillId="6" borderId="17" xfId="0" applyFont="1" applyFill="1" applyBorder="1" applyAlignment="1" applyProtection="1">
      <alignment horizontal="left" vertical="center" indent="2"/>
      <protection hidden="1"/>
    </xf>
    <xf numFmtId="0" fontId="7" fillId="6" borderId="18" xfId="0" applyFont="1" applyFill="1" applyBorder="1" applyAlignment="1" applyProtection="1">
      <alignment vertical="center"/>
      <protection hidden="1"/>
    </xf>
    <xf numFmtId="0" fontId="7" fillId="10" borderId="3" xfId="0" applyFont="1" applyFill="1" applyBorder="1" applyAlignment="1" applyProtection="1">
      <alignment horizontal="left" vertical="center" indent="1"/>
      <protection hidden="1"/>
    </xf>
    <xf numFmtId="0" fontId="7" fillId="10" borderId="4" xfId="0" applyFont="1" applyFill="1" applyBorder="1" applyAlignment="1" applyProtection="1">
      <alignment horizontal="left" vertical="center" indent="1"/>
      <protection hidden="1"/>
    </xf>
    <xf numFmtId="0" fontId="11" fillId="10" borderId="4" xfId="0" applyFont="1" applyFill="1" applyBorder="1" applyAlignment="1" applyProtection="1">
      <alignment horizontal="left" vertical="center" indent="1"/>
      <protection hidden="1"/>
    </xf>
    <xf numFmtId="0" fontId="11" fillId="6" borderId="0" xfId="0" applyFont="1" applyFill="1" applyBorder="1" applyAlignment="1" applyProtection="1">
      <alignment horizontal="left" vertical="center" indent="1"/>
      <protection hidden="1"/>
    </xf>
    <xf numFmtId="0" fontId="11" fillId="6" borderId="0" xfId="0" applyFont="1" applyFill="1" applyBorder="1" applyAlignment="1" applyProtection="1">
      <alignment horizontal="left" vertical="center"/>
      <protection hidden="1"/>
    </xf>
    <xf numFmtId="180" fontId="11" fillId="4" borderId="0" xfId="0" applyNumberFormat="1" applyFont="1" applyFill="1" applyBorder="1" applyAlignment="1" applyProtection="1">
      <alignment horizontal="right" vertical="center"/>
      <protection hidden="1"/>
    </xf>
    <xf numFmtId="0" fontId="11" fillId="4" borderId="8" xfId="0" applyFont="1" applyFill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 indent="1"/>
      <protection hidden="1"/>
    </xf>
    <xf numFmtId="0" fontId="7" fillId="0" borderId="20" xfId="0" applyFont="1" applyBorder="1" applyAlignment="1" applyProtection="1">
      <alignment vertical="center"/>
      <protection hidden="1"/>
    </xf>
    <xf numFmtId="180" fontId="7" fillId="0" borderId="20" xfId="0" applyNumberFormat="1" applyFont="1" applyBorder="1" applyAlignment="1" applyProtection="1">
      <alignment vertical="center"/>
      <protection hidden="1"/>
    </xf>
    <xf numFmtId="49" fontId="7" fillId="0" borderId="20" xfId="0" applyNumberFormat="1" applyFont="1" applyBorder="1" applyAlignment="1" applyProtection="1">
      <alignment horizontal="left" vertical="center" indent="1"/>
      <protection hidden="1"/>
    </xf>
    <xf numFmtId="0" fontId="7" fillId="6" borderId="23" xfId="0" applyFont="1" applyFill="1" applyBorder="1" applyAlignment="1" applyProtection="1">
      <alignment horizontal="center" vertical="center"/>
      <protection hidden="1"/>
    </xf>
    <xf numFmtId="166" fontId="7" fillId="8" borderId="3" xfId="0" applyNumberFormat="1" applyFont="1" applyFill="1" applyBorder="1" applyAlignment="1" applyProtection="1">
      <alignment horizontal="right" vertical="center"/>
      <protection hidden="1"/>
    </xf>
    <xf numFmtId="180" fontId="11" fillId="6" borderId="27" xfId="1" applyNumberFormat="1" applyFont="1" applyFill="1" applyBorder="1" applyAlignment="1" applyProtection="1">
      <alignment horizontal="right" vertical="center"/>
      <protection hidden="1"/>
    </xf>
    <xf numFmtId="166" fontId="7" fillId="19" borderId="0" xfId="0" applyNumberFormat="1" applyFont="1" applyFill="1" applyAlignment="1" applyProtection="1">
      <alignment horizontal="center"/>
      <protection hidden="1"/>
    </xf>
    <xf numFmtId="0" fontId="7" fillId="6" borderId="15" xfId="0" applyFont="1" applyFill="1" applyBorder="1" applyAlignment="1" applyProtection="1">
      <alignment horizontal="center" vertical="center"/>
      <protection hidden="1"/>
    </xf>
    <xf numFmtId="167" fontId="7" fillId="8" borderId="3" xfId="0" applyNumberFormat="1" applyFont="1" applyFill="1" applyBorder="1" applyAlignment="1" applyProtection="1">
      <alignment horizontal="right" vertical="center"/>
      <protection hidden="1"/>
    </xf>
    <xf numFmtId="180" fontId="11" fillId="6" borderId="28" xfId="1" applyNumberFormat="1" applyFont="1" applyFill="1" applyBorder="1" applyAlignment="1" applyProtection="1">
      <alignment horizontal="right" vertical="center"/>
      <protection hidden="1"/>
    </xf>
    <xf numFmtId="168" fontId="7" fillId="8" borderId="3" xfId="0" applyNumberFormat="1" applyFont="1" applyFill="1" applyBorder="1" applyAlignment="1" applyProtection="1">
      <alignment horizontal="right" vertical="center"/>
      <protection hidden="1"/>
    </xf>
    <xf numFmtId="169" fontId="7" fillId="8" borderId="3" xfId="0" applyNumberFormat="1" applyFont="1" applyFill="1" applyBorder="1" applyAlignment="1" applyProtection="1">
      <alignment horizontal="right" vertical="center"/>
      <protection hidden="1"/>
    </xf>
    <xf numFmtId="170" fontId="7" fillId="8" borderId="3" xfId="0" applyNumberFormat="1" applyFont="1" applyFill="1" applyBorder="1" applyAlignment="1" applyProtection="1">
      <alignment horizontal="right" vertical="center"/>
      <protection hidden="1"/>
    </xf>
    <xf numFmtId="171" fontId="7" fillId="8" borderId="3" xfId="0" applyNumberFormat="1" applyFont="1" applyFill="1" applyBorder="1" applyAlignment="1" applyProtection="1">
      <alignment horizontal="right" vertical="center"/>
      <protection hidden="1"/>
    </xf>
    <xf numFmtId="172" fontId="7" fillId="8" borderId="3" xfId="0" applyNumberFormat="1" applyFont="1" applyFill="1" applyBorder="1" applyAlignment="1" applyProtection="1">
      <alignment horizontal="right" vertical="center"/>
      <protection hidden="1"/>
    </xf>
    <xf numFmtId="173" fontId="7" fillId="8" borderId="3" xfId="0" applyNumberFormat="1" applyFont="1" applyFill="1" applyBorder="1" applyAlignment="1" applyProtection="1">
      <alignment horizontal="right" vertical="center"/>
      <protection hidden="1"/>
    </xf>
    <xf numFmtId="174" fontId="7" fillId="8" borderId="3" xfId="0" applyNumberFormat="1" applyFont="1" applyFill="1" applyBorder="1" applyAlignment="1" applyProtection="1">
      <alignment horizontal="right" vertical="center"/>
      <protection hidden="1"/>
    </xf>
    <xf numFmtId="175" fontId="7" fillId="8" borderId="3" xfId="0" applyNumberFormat="1" applyFont="1" applyFill="1" applyBorder="1" applyAlignment="1" applyProtection="1">
      <alignment horizontal="right" vertical="center"/>
      <protection hidden="1"/>
    </xf>
    <xf numFmtId="176" fontId="7" fillId="8" borderId="3" xfId="0" applyNumberFormat="1" applyFont="1" applyFill="1" applyBorder="1" applyAlignment="1" applyProtection="1">
      <alignment horizontal="right" vertical="center"/>
      <protection hidden="1"/>
    </xf>
    <xf numFmtId="177" fontId="7" fillId="8" borderId="12" xfId="0" applyNumberFormat="1" applyFont="1" applyFill="1" applyBorder="1" applyAlignment="1" applyProtection="1">
      <alignment horizontal="right" vertical="center"/>
      <protection hidden="1"/>
    </xf>
    <xf numFmtId="180" fontId="11" fillId="6" borderId="29" xfId="0" applyNumberFormat="1" applyFont="1" applyFill="1" applyBorder="1" applyAlignment="1" applyProtection="1">
      <alignment horizontal="right" vertical="center"/>
      <protection hidden="1"/>
    </xf>
    <xf numFmtId="0" fontId="11" fillId="6" borderId="6" xfId="0" applyFont="1" applyFill="1" applyBorder="1" applyAlignment="1" applyProtection="1">
      <alignment horizontal="left" vertical="center" indent="1"/>
      <protection hidden="1"/>
    </xf>
    <xf numFmtId="0" fontId="11" fillId="10" borderId="3" xfId="0" applyFont="1" applyFill="1" applyBorder="1" applyAlignment="1" applyProtection="1">
      <alignment horizontal="left" vertical="center" indent="1"/>
      <protection hidden="1"/>
    </xf>
    <xf numFmtId="0" fontId="7" fillId="0" borderId="16" xfId="0" applyFont="1" applyFill="1" applyBorder="1" applyAlignment="1" applyProtection="1">
      <alignment horizontal="left" vertical="center" indent="1"/>
      <protection hidden="1"/>
    </xf>
    <xf numFmtId="0" fontId="7" fillId="0" borderId="17" xfId="0" applyFont="1" applyFill="1" applyBorder="1" applyAlignment="1" applyProtection="1">
      <alignment horizontal="left" vertical="center" indent="1"/>
      <protection hidden="1"/>
    </xf>
    <xf numFmtId="0" fontId="11" fillId="4" borderId="6" xfId="0" applyFont="1" applyFill="1" applyBorder="1" applyAlignment="1" applyProtection="1">
      <alignment horizontal="left" vertical="center" indent="1"/>
      <protection hidden="1"/>
    </xf>
    <xf numFmtId="0" fontId="7" fillId="6" borderId="9" xfId="0" applyFont="1" applyFill="1" applyBorder="1" applyAlignment="1" applyProtection="1">
      <alignment horizontal="left" vertical="center" indent="1"/>
      <protection hidden="1"/>
    </xf>
    <xf numFmtId="0" fontId="7" fillId="6" borderId="11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left" vertical="center" indent="1"/>
      <protection hidden="1"/>
    </xf>
    <xf numFmtId="0" fontId="7" fillId="0" borderId="4" xfId="0" applyFont="1" applyBorder="1" applyAlignment="1" applyProtection="1">
      <alignment vertical="center"/>
      <protection hidden="1"/>
    </xf>
    <xf numFmtId="180" fontId="7" fillId="0" borderId="4" xfId="0" applyNumberFormat="1" applyFont="1" applyBorder="1" applyAlignment="1" applyProtection="1">
      <alignment vertical="center"/>
      <protection hidden="1"/>
    </xf>
    <xf numFmtId="0" fontId="10" fillId="3" borderId="3" xfId="4" applyFont="1" applyBorder="1" applyProtection="1">
      <alignment horizontal="left" vertical="center" indent="1"/>
      <protection hidden="1"/>
    </xf>
    <xf numFmtId="0" fontId="7" fillId="19" borderId="0" xfId="0" applyNumberFormat="1" applyFont="1" applyFill="1" applyAlignment="1" applyProtection="1">
      <alignment horizontal="center"/>
      <protection hidden="1"/>
    </xf>
    <xf numFmtId="180" fontId="11" fillId="0" borderId="20" xfId="0" applyNumberFormat="1" applyFont="1" applyBorder="1" applyAlignment="1" applyProtection="1">
      <alignment vertical="center"/>
      <protection hidden="1"/>
    </xf>
    <xf numFmtId="49" fontId="7" fillId="0" borderId="20" xfId="0" applyNumberFormat="1" applyFont="1" applyFill="1" applyBorder="1" applyAlignment="1" applyProtection="1">
      <alignment horizontal="left" vertical="center" indent="1"/>
      <protection hidden="1"/>
    </xf>
    <xf numFmtId="0" fontId="9" fillId="11" borderId="2" xfId="3" applyFont="1" applyFill="1" applyAlignment="1" applyProtection="1">
      <alignment horizontal="center" vertical="center"/>
      <protection locked="0" hidden="1"/>
    </xf>
    <xf numFmtId="0" fontId="12" fillId="0" borderId="0" xfId="8" applyFont="1" applyFill="1" applyAlignment="1">
      <alignment horizontal="center"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/>
    <xf numFmtId="0" fontId="12" fillId="0" borderId="6" xfId="8" applyFont="1" applyFill="1" applyBorder="1" applyAlignment="1" applyProtection="1">
      <alignment horizontal="left" vertical="center"/>
    </xf>
    <xf numFmtId="0" fontId="22" fillId="10" borderId="4" xfId="8" applyFont="1" applyFill="1" applyBorder="1" applyAlignment="1" applyProtection="1">
      <alignment horizontal="left" vertical="center" indent="1"/>
    </xf>
    <xf numFmtId="0" fontId="24" fillId="11" borderId="38" xfId="0" applyFont="1" applyFill="1" applyBorder="1" applyAlignment="1" applyProtection="1">
      <alignment horizontal="left" vertical="center" wrapText="1"/>
    </xf>
    <xf numFmtId="179" fontId="23" fillId="0" borderId="39" xfId="1" applyNumberFormat="1" applyFont="1" applyBorder="1" applyAlignment="1">
      <alignment horizontal="right" vertical="center"/>
    </xf>
    <xf numFmtId="179" fontId="23" fillId="0" borderId="40" xfId="0" applyNumberFormat="1" applyFont="1" applyBorder="1" applyAlignment="1">
      <alignment horizontal="right" vertical="center"/>
    </xf>
    <xf numFmtId="179" fontId="23" fillId="0" borderId="41" xfId="0" applyNumberFormat="1" applyFont="1" applyBorder="1" applyAlignment="1">
      <alignment horizontal="right" vertical="center"/>
    </xf>
    <xf numFmtId="179" fontId="23" fillId="0" borderId="42" xfId="0" applyNumberFormat="1" applyFont="1" applyBorder="1" applyAlignment="1">
      <alignment horizontal="right" vertical="center"/>
    </xf>
    <xf numFmtId="179" fontId="23" fillId="0" borderId="43" xfId="0" applyNumberFormat="1" applyFont="1" applyBorder="1" applyAlignment="1">
      <alignment horizontal="right" vertical="center"/>
    </xf>
    <xf numFmtId="179" fontId="23" fillId="0" borderId="44" xfId="0" applyNumberFormat="1" applyFont="1" applyBorder="1" applyAlignment="1">
      <alignment horizontal="right" vertical="center"/>
    </xf>
    <xf numFmtId="179" fontId="23" fillId="0" borderId="32" xfId="0" applyNumberFormat="1" applyFont="1" applyBorder="1" applyAlignment="1">
      <alignment horizontal="right" vertical="center"/>
    </xf>
    <xf numFmtId="179" fontId="23" fillId="0" borderId="31" xfId="0" applyNumberFormat="1" applyFont="1" applyBorder="1" applyAlignment="1">
      <alignment horizontal="right" vertical="center"/>
    </xf>
    <xf numFmtId="179" fontId="23" fillId="0" borderId="30" xfId="0" applyNumberFormat="1" applyFont="1" applyBorder="1" applyAlignment="1">
      <alignment horizontal="right" vertical="center"/>
    </xf>
    <xf numFmtId="179" fontId="23" fillId="0" borderId="33" xfId="0" applyNumberFormat="1" applyFont="1" applyBorder="1" applyAlignment="1">
      <alignment horizontal="right" vertical="center"/>
    </xf>
    <xf numFmtId="179" fontId="23" fillId="0" borderId="34" xfId="0" applyNumberFormat="1" applyFont="1" applyBorder="1" applyAlignment="1">
      <alignment horizontal="right" vertical="center"/>
    </xf>
    <xf numFmtId="179" fontId="23" fillId="0" borderId="35" xfId="0" applyNumberFormat="1" applyFont="1" applyBorder="1" applyAlignment="1">
      <alignment horizontal="right" vertical="center"/>
    </xf>
    <xf numFmtId="180" fontId="23" fillId="0" borderId="32" xfId="0" applyNumberFormat="1" applyFont="1" applyBorder="1" applyAlignment="1">
      <alignment horizontal="right" vertical="center"/>
    </xf>
    <xf numFmtId="180" fontId="23" fillId="0" borderId="31" xfId="0" applyNumberFormat="1" applyFont="1" applyBorder="1" applyAlignment="1">
      <alignment horizontal="right" vertical="center"/>
    </xf>
    <xf numFmtId="180" fontId="23" fillId="0" borderId="30" xfId="0" applyNumberFormat="1" applyFont="1" applyBorder="1" applyAlignment="1">
      <alignment horizontal="right" vertical="center"/>
    </xf>
    <xf numFmtId="180" fontId="23" fillId="0" borderId="33" xfId="0" applyNumberFormat="1" applyFont="1" applyBorder="1" applyAlignment="1">
      <alignment horizontal="right" vertical="center"/>
    </xf>
    <xf numFmtId="180" fontId="23" fillId="0" borderId="34" xfId="0" applyNumberFormat="1" applyFont="1" applyBorder="1" applyAlignment="1">
      <alignment horizontal="right" vertical="center"/>
    </xf>
    <xf numFmtId="180" fontId="23" fillId="0" borderId="35" xfId="0" applyNumberFormat="1" applyFont="1" applyBorder="1" applyAlignment="1">
      <alignment horizontal="right" vertical="center"/>
    </xf>
    <xf numFmtId="179" fontId="23" fillId="0" borderId="45" xfId="0" applyNumberFormat="1" applyFont="1" applyBorder="1" applyAlignment="1">
      <alignment horizontal="right" vertical="center"/>
    </xf>
    <xf numFmtId="179" fontId="23" fillId="0" borderId="46" xfId="0" applyNumberFormat="1" applyFont="1" applyBorder="1" applyAlignment="1">
      <alignment horizontal="right" vertical="center"/>
    </xf>
    <xf numFmtId="179" fontId="23" fillId="0" borderId="47" xfId="0" applyNumberFormat="1" applyFont="1" applyBorder="1" applyAlignment="1">
      <alignment horizontal="right" vertical="center"/>
    </xf>
    <xf numFmtId="179" fontId="23" fillId="0" borderId="48" xfId="0" applyNumberFormat="1" applyFont="1" applyBorder="1" applyAlignment="1">
      <alignment horizontal="right" vertical="center"/>
    </xf>
    <xf numFmtId="179" fontId="23" fillId="0" borderId="49" xfId="0" applyNumberFormat="1" applyFont="1" applyBorder="1" applyAlignment="1">
      <alignment horizontal="right" vertical="center"/>
    </xf>
    <xf numFmtId="179" fontId="23" fillId="0" borderId="50" xfId="0" applyNumberFormat="1" applyFont="1" applyBorder="1" applyAlignment="1">
      <alignment horizontal="right" vertical="center"/>
    </xf>
    <xf numFmtId="0" fontId="25" fillId="14" borderId="57" xfId="0" applyFont="1" applyFill="1" applyBorder="1" applyAlignment="1" applyProtection="1">
      <alignment horizontal="center" vertical="top" wrapText="1"/>
    </xf>
    <xf numFmtId="0" fontId="25" fillId="13" borderId="54" xfId="0" applyFont="1" applyFill="1" applyBorder="1" applyAlignment="1" applyProtection="1">
      <alignment horizontal="center" vertical="top" wrapText="1"/>
    </xf>
    <xf numFmtId="0" fontId="25" fillId="13" borderId="55" xfId="0" applyFont="1" applyFill="1" applyBorder="1" applyAlignment="1" applyProtection="1">
      <alignment horizontal="center" vertical="top" wrapText="1"/>
    </xf>
    <xf numFmtId="0" fontId="25" fillId="13" borderId="56" xfId="0" applyFont="1" applyFill="1" applyBorder="1" applyAlignment="1" applyProtection="1">
      <alignment horizontal="center" vertical="top" wrapText="1"/>
    </xf>
    <xf numFmtId="0" fontId="25" fillId="17" borderId="58" xfId="0" applyFont="1" applyFill="1" applyBorder="1" applyAlignment="1" applyProtection="1">
      <alignment horizontal="center" vertical="top" wrapText="1"/>
    </xf>
    <xf numFmtId="0" fontId="25" fillId="17" borderId="55" xfId="0" applyFont="1" applyFill="1" applyBorder="1" applyAlignment="1" applyProtection="1">
      <alignment horizontal="center" vertical="top" wrapText="1"/>
    </xf>
    <xf numFmtId="0" fontId="25" fillId="17" borderId="59" xfId="0" applyFont="1" applyFill="1" applyBorder="1" applyAlignment="1" applyProtection="1">
      <alignment horizontal="center" vertical="top" wrapText="1"/>
    </xf>
    <xf numFmtId="0" fontId="25" fillId="15" borderId="54" xfId="0" applyFont="1" applyFill="1" applyBorder="1" applyAlignment="1" applyProtection="1">
      <alignment horizontal="center" vertical="top" wrapText="1"/>
    </xf>
    <xf numFmtId="0" fontId="25" fillId="15" borderId="55" xfId="0" applyFont="1" applyFill="1" applyBorder="1" applyAlignment="1" applyProtection="1">
      <alignment horizontal="center" vertical="top" wrapText="1"/>
    </xf>
    <xf numFmtId="0" fontId="25" fillId="15" borderId="56" xfId="0" applyFont="1" applyFill="1" applyBorder="1" applyAlignment="1" applyProtection="1">
      <alignment horizontal="center" vertical="top" wrapText="1"/>
    </xf>
    <xf numFmtId="0" fontId="25" fillId="16" borderId="58" xfId="0" applyFont="1" applyFill="1" applyBorder="1" applyAlignment="1" applyProtection="1">
      <alignment horizontal="center" vertical="top" wrapText="1"/>
    </xf>
    <xf numFmtId="0" fontId="25" fillId="16" borderId="56" xfId="0" applyFont="1" applyFill="1" applyBorder="1" applyAlignment="1" applyProtection="1">
      <alignment horizontal="center" vertical="top" wrapText="1"/>
    </xf>
    <xf numFmtId="0" fontId="19" fillId="15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9" fillId="17" borderId="0" xfId="0" applyFont="1" applyFill="1" applyBorder="1" applyAlignment="1">
      <alignment vertical="center"/>
    </xf>
    <xf numFmtId="0" fontId="19" fillId="18" borderId="0" xfId="0" applyFont="1" applyFill="1" applyBorder="1" applyAlignment="1">
      <alignment vertical="center"/>
    </xf>
    <xf numFmtId="0" fontId="19" fillId="14" borderId="0" xfId="0" applyFont="1" applyFill="1" applyBorder="1" applyAlignment="1">
      <alignment vertical="center"/>
    </xf>
    <xf numFmtId="0" fontId="12" fillId="0" borderId="0" xfId="8" applyFont="1" applyFill="1" applyAlignment="1" applyProtection="1">
      <alignment vertical="center"/>
    </xf>
    <xf numFmtId="0" fontId="12" fillId="0" borderId="0" xfId="8" applyFont="1" applyFill="1" applyBorder="1" applyAlignment="1" applyProtection="1">
      <alignment vertical="center"/>
    </xf>
    <xf numFmtId="0" fontId="12" fillId="4" borderId="0" xfId="8" applyFont="1" applyAlignment="1" applyProtection="1">
      <alignment vertical="center"/>
    </xf>
    <xf numFmtId="0" fontId="12" fillId="10" borderId="24" xfId="8" applyFont="1" applyFill="1" applyBorder="1" applyAlignment="1" applyProtection="1">
      <alignment horizontal="left" vertical="center" indent="1"/>
    </xf>
    <xf numFmtId="0" fontId="12" fillId="10" borderId="61" xfId="8" applyFont="1" applyFill="1" applyBorder="1" applyAlignment="1" applyProtection="1">
      <alignment horizontal="left" vertical="center" indent="1"/>
    </xf>
    <xf numFmtId="166" fontId="12" fillId="8" borderId="3" xfId="8" applyNumberFormat="1" applyFont="1" applyFill="1" applyBorder="1" applyAlignment="1" applyProtection="1">
      <alignment horizontal="right" vertical="center"/>
    </xf>
    <xf numFmtId="167" fontId="12" fillId="8" borderId="3" xfId="8" applyNumberFormat="1" applyFont="1" applyFill="1" applyBorder="1" applyAlignment="1" applyProtection="1">
      <alignment horizontal="right" vertical="center"/>
    </xf>
    <xf numFmtId="168" fontId="12" fillId="8" borderId="3" xfId="8" applyNumberFormat="1" applyFont="1" applyFill="1" applyBorder="1" applyAlignment="1" applyProtection="1">
      <alignment horizontal="right" vertical="center"/>
    </xf>
    <xf numFmtId="169" fontId="12" fillId="8" borderId="3" xfId="8" applyNumberFormat="1" applyFont="1" applyFill="1" applyBorder="1" applyAlignment="1" applyProtection="1">
      <alignment horizontal="right" vertical="center"/>
    </xf>
    <xf numFmtId="170" fontId="12" fillId="8" borderId="3" xfId="8" applyNumberFormat="1" applyFont="1" applyFill="1" applyBorder="1" applyAlignment="1" applyProtection="1">
      <alignment horizontal="right" vertical="center"/>
    </xf>
    <xf numFmtId="171" fontId="12" fillId="8" borderId="3" xfId="8" applyNumberFormat="1" applyFont="1" applyFill="1" applyBorder="1" applyAlignment="1" applyProtection="1">
      <alignment horizontal="right" vertical="center"/>
    </xf>
    <xf numFmtId="172" fontId="12" fillId="8" borderId="3" xfId="8" applyNumberFormat="1" applyFont="1" applyFill="1" applyBorder="1" applyAlignment="1" applyProtection="1">
      <alignment horizontal="right" vertical="center"/>
    </xf>
    <xf numFmtId="173" fontId="12" fillId="8" borderId="3" xfId="8" applyNumberFormat="1" applyFont="1" applyFill="1" applyBorder="1" applyAlignment="1" applyProtection="1">
      <alignment horizontal="right" vertical="center"/>
    </xf>
    <xf numFmtId="174" fontId="12" fillId="8" borderId="3" xfId="8" applyNumberFormat="1" applyFont="1" applyFill="1" applyBorder="1" applyAlignment="1" applyProtection="1">
      <alignment horizontal="right" vertical="center"/>
    </xf>
    <xf numFmtId="175" fontId="12" fillId="8" borderId="3" xfId="8" applyNumberFormat="1" applyFont="1" applyFill="1" applyBorder="1" applyAlignment="1" applyProtection="1">
      <alignment horizontal="right" vertical="center"/>
    </xf>
    <xf numFmtId="176" fontId="12" fillId="8" borderId="3" xfId="8" applyNumberFormat="1" applyFont="1" applyFill="1" applyBorder="1" applyAlignment="1" applyProtection="1">
      <alignment horizontal="right" vertical="center"/>
    </xf>
    <xf numFmtId="177" fontId="12" fillId="8" borderId="12" xfId="8" applyNumberFormat="1" applyFont="1" applyFill="1" applyBorder="1" applyAlignment="1" applyProtection="1">
      <alignment horizontal="right" vertical="center"/>
    </xf>
    <xf numFmtId="0" fontId="12" fillId="4" borderId="0" xfId="8" applyFont="1" applyBorder="1" applyAlignment="1" applyProtection="1">
      <alignment vertical="center"/>
    </xf>
    <xf numFmtId="0" fontId="5" fillId="4" borderId="0" xfId="8" applyFont="1" applyBorder="1" applyAlignment="1" applyProtection="1">
      <alignment vertical="center"/>
    </xf>
    <xf numFmtId="0" fontId="29" fillId="4" borderId="0" xfId="16" applyFont="1" applyFill="1" applyBorder="1" applyAlignment="1" applyProtection="1">
      <alignment horizontal="center" vertical="center"/>
    </xf>
    <xf numFmtId="0" fontId="30" fillId="4" borderId="0" xfId="16" applyFont="1" applyFill="1" applyBorder="1" applyAlignment="1" applyProtection="1">
      <alignment vertical="center"/>
    </xf>
    <xf numFmtId="0" fontId="5" fillId="4" borderId="0" xfId="8" applyBorder="1" applyAlignment="1" applyProtection="1">
      <alignment vertical="center"/>
    </xf>
    <xf numFmtId="0" fontId="4" fillId="3" borderId="3" xfId="4" applyProtection="1">
      <alignment horizontal="left" vertical="center" indent="1"/>
    </xf>
    <xf numFmtId="0" fontId="4" fillId="3" borderId="4" xfId="8" applyFont="1" applyFill="1" applyBorder="1" applyAlignment="1" applyProtection="1">
      <alignment horizontal="left" vertical="center"/>
    </xf>
    <xf numFmtId="0" fontId="4" fillId="3" borderId="5" xfId="8" applyFont="1" applyFill="1" applyBorder="1" applyAlignment="1" applyProtection="1">
      <alignment horizontal="left" vertical="center"/>
    </xf>
    <xf numFmtId="0" fontId="5" fillId="4" borderId="6" xfId="8" applyFont="1" applyFill="1" applyBorder="1" applyAlignment="1" applyProtection="1">
      <alignment horizontal="left" vertical="center"/>
    </xf>
    <xf numFmtId="0" fontId="5" fillId="4" borderId="0" xfId="8" applyBorder="1" applyAlignment="1" applyProtection="1">
      <alignment horizontal="left" vertical="center" indent="1"/>
    </xf>
    <xf numFmtId="49" fontId="5" fillId="4" borderId="0" xfId="8" applyNumberFormat="1" applyBorder="1" applyAlignment="1" applyProtection="1">
      <alignment horizontal="left" vertical="center" indent="1"/>
    </xf>
    <xf numFmtId="0" fontId="5" fillId="4" borderId="7" xfId="8" applyBorder="1" applyAlignment="1" applyProtection="1">
      <alignment vertical="center"/>
    </xf>
    <xf numFmtId="49" fontId="31" fillId="5" borderId="3" xfId="8" applyNumberFormat="1" applyFont="1" applyFill="1" applyBorder="1" applyAlignment="1" applyProtection="1">
      <alignment horizontal="left" vertical="center"/>
    </xf>
    <xf numFmtId="49" fontId="31" fillId="5" borderId="4" xfId="8" applyNumberFormat="1" applyFont="1" applyFill="1" applyBorder="1" applyAlignment="1" applyProtection="1">
      <alignment horizontal="left" vertical="center"/>
    </xf>
    <xf numFmtId="0" fontId="5" fillId="5" borderId="5" xfId="8" applyFont="1" applyFill="1" applyBorder="1" applyAlignment="1" applyProtection="1">
      <alignment vertical="center"/>
    </xf>
    <xf numFmtId="0" fontId="31" fillId="4" borderId="8" xfId="8" applyFont="1" applyBorder="1" applyAlignment="1" applyProtection="1">
      <alignment horizontal="center" vertical="center"/>
    </xf>
    <xf numFmtId="49" fontId="5" fillId="0" borderId="0" xfId="8" applyNumberFormat="1" applyFill="1" applyBorder="1" applyAlignment="1" applyProtection="1">
      <alignment horizontal="left" vertical="center" indent="1"/>
    </xf>
    <xf numFmtId="0" fontId="31" fillId="4" borderId="20" xfId="8" applyFont="1" applyBorder="1" applyAlignment="1" applyProtection="1">
      <alignment horizontal="center" vertical="center"/>
    </xf>
    <xf numFmtId="49" fontId="5" fillId="4" borderId="9" xfId="8" applyNumberFormat="1" applyFill="1" applyBorder="1" applyAlignment="1" applyProtection="1">
      <alignment horizontal="left" vertical="center" indent="1"/>
    </xf>
    <xf numFmtId="49" fontId="5" fillId="4" borderId="10" xfId="8" applyNumberFormat="1" applyFill="1" applyBorder="1" applyAlignment="1" applyProtection="1">
      <alignment horizontal="left" vertical="center" indent="1"/>
    </xf>
    <xf numFmtId="0" fontId="5" fillId="6" borderId="11" xfId="8" applyFont="1" applyFill="1" applyBorder="1" applyAlignment="1" applyProtection="1">
      <alignment vertical="center"/>
    </xf>
    <xf numFmtId="49" fontId="5" fillId="5" borderId="12" xfId="8" applyNumberFormat="1" applyFill="1" applyBorder="1" applyAlignment="1" applyProtection="1">
      <alignment horizontal="left" vertical="center" indent="1"/>
    </xf>
    <xf numFmtId="49" fontId="5" fillId="4" borderId="13" xfId="8" applyNumberFormat="1" applyFill="1" applyBorder="1" applyAlignment="1" applyProtection="1">
      <alignment horizontal="left" vertical="center" indent="2"/>
    </xf>
    <xf numFmtId="49" fontId="5" fillId="4" borderId="14" xfId="8" applyNumberFormat="1" applyFill="1" applyBorder="1" applyAlignment="1" applyProtection="1">
      <alignment horizontal="left" vertical="center" indent="2"/>
    </xf>
    <xf numFmtId="0" fontId="5" fillId="6" borderId="15" xfId="8" applyFont="1" applyFill="1" applyBorder="1" applyAlignment="1" applyProtection="1">
      <alignment vertical="center"/>
    </xf>
    <xf numFmtId="0" fontId="5" fillId="7" borderId="12" xfId="8" applyFont="1" applyFill="1" applyBorder="1" applyAlignment="1" applyProtection="1">
      <alignment horizontal="center" vertical="center"/>
      <protection locked="0"/>
    </xf>
    <xf numFmtId="0" fontId="6" fillId="6" borderId="62" xfId="15" applyFont="1" applyFill="1" applyBorder="1" applyAlignment="1" applyProtection="1">
      <alignment horizontal="center" vertical="center"/>
    </xf>
    <xf numFmtId="0" fontId="5" fillId="7" borderId="12" xfId="8" applyFont="1" applyFill="1" applyBorder="1" applyAlignment="1" applyProtection="1">
      <alignment horizontal="center" vertical="center" wrapText="1"/>
      <protection locked="0"/>
    </xf>
    <xf numFmtId="0" fontId="6" fillId="6" borderId="28" xfId="15" applyFont="1" applyFill="1" applyBorder="1" applyAlignment="1" applyProtection="1">
      <alignment horizontal="center" vertical="center"/>
    </xf>
    <xf numFmtId="49" fontId="5" fillId="4" borderId="13" xfId="8" applyNumberFormat="1" applyBorder="1" applyAlignment="1" applyProtection="1">
      <alignment horizontal="left" vertical="center" indent="2"/>
    </xf>
    <xf numFmtId="49" fontId="5" fillId="4" borderId="14" xfId="8" applyNumberFormat="1" applyBorder="1" applyAlignment="1" applyProtection="1">
      <alignment horizontal="left" vertical="center" indent="2"/>
    </xf>
    <xf numFmtId="0" fontId="5" fillId="4" borderId="15" xfId="8" applyFont="1" applyBorder="1" applyAlignment="1" applyProtection="1">
      <alignment vertical="center"/>
    </xf>
    <xf numFmtId="164" fontId="5" fillId="7" borderId="12" xfId="8" applyNumberFormat="1" applyFont="1" applyFill="1" applyBorder="1" applyAlignment="1" applyProtection="1">
      <alignment horizontal="center" vertical="center"/>
      <protection locked="0"/>
    </xf>
    <xf numFmtId="49" fontId="5" fillId="4" borderId="13" xfId="8" applyNumberFormat="1" applyFill="1" applyBorder="1" applyAlignment="1" applyProtection="1">
      <alignment horizontal="left" vertical="center" indent="1"/>
    </xf>
    <xf numFmtId="49" fontId="5" fillId="4" borderId="14" xfId="8" applyNumberFormat="1" applyFill="1" applyBorder="1" applyAlignment="1" applyProtection="1">
      <alignment horizontal="left" vertical="center" indent="1"/>
    </xf>
    <xf numFmtId="164" fontId="5" fillId="8" borderId="12" xfId="8" applyNumberFormat="1" applyFont="1" applyFill="1" applyBorder="1" applyAlignment="1" applyProtection="1">
      <alignment horizontal="center" vertical="center"/>
      <protection locked="0"/>
    </xf>
    <xf numFmtId="0" fontId="5" fillId="8" borderId="12" xfId="8" applyFont="1" applyFill="1" applyBorder="1" applyAlignment="1" applyProtection="1">
      <alignment horizontal="center" vertical="center"/>
      <protection locked="0"/>
    </xf>
    <xf numFmtId="0" fontId="5" fillId="6" borderId="15" xfId="8" applyFont="1" applyFill="1" applyBorder="1" applyAlignment="1" applyProtection="1">
      <alignment horizontal="center" vertical="center"/>
    </xf>
    <xf numFmtId="0" fontId="5" fillId="9" borderId="12" xfId="8" applyFont="1" applyFill="1" applyBorder="1" applyAlignment="1" applyProtection="1">
      <alignment vertical="center"/>
    </xf>
    <xf numFmtId="165" fontId="5" fillId="8" borderId="12" xfId="17" applyNumberFormat="1" applyFont="1" applyFill="1" applyBorder="1" applyAlignment="1" applyProtection="1">
      <alignment horizontal="center" vertical="center"/>
      <protection locked="0"/>
    </xf>
    <xf numFmtId="0" fontId="6" fillId="6" borderId="27" xfId="15" applyFont="1" applyFill="1" applyBorder="1" applyAlignment="1" applyProtection="1">
      <alignment horizontal="center" vertical="center"/>
    </xf>
    <xf numFmtId="0" fontId="5" fillId="8" borderId="12" xfId="8" applyFont="1" applyFill="1" applyBorder="1" applyAlignment="1" applyProtection="1">
      <alignment horizontal="center" vertical="center" wrapText="1"/>
      <protection locked="0"/>
    </xf>
    <xf numFmtId="49" fontId="5" fillId="4" borderId="16" xfId="8" applyNumberFormat="1" applyBorder="1" applyAlignment="1" applyProtection="1">
      <alignment horizontal="left" vertical="center" indent="2"/>
    </xf>
    <xf numFmtId="49" fontId="5" fillId="4" borderId="17" xfId="8" applyNumberFormat="1" applyBorder="1" applyAlignment="1" applyProtection="1">
      <alignment horizontal="left" vertical="center" indent="2"/>
    </xf>
    <xf numFmtId="0" fontId="5" fillId="4" borderId="18" xfId="8" applyFont="1" applyBorder="1" applyAlignment="1" applyProtection="1">
      <alignment vertical="center"/>
    </xf>
    <xf numFmtId="0" fontId="6" fillId="6" borderId="29" xfId="15" applyFont="1" applyFill="1" applyBorder="1" applyAlignment="1" applyProtection="1">
      <alignment horizontal="center" vertical="center"/>
    </xf>
    <xf numFmtId="0" fontId="5" fillId="8" borderId="12" xfId="8" applyFont="1" applyFill="1" applyBorder="1" applyAlignment="1" applyProtection="1">
      <alignment horizontal="left" vertical="center" indent="1"/>
      <protection locked="0"/>
    </xf>
    <xf numFmtId="0" fontId="31" fillId="4" borderId="8" xfId="8" applyFont="1" applyBorder="1" applyAlignment="1" applyProtection="1">
      <alignment horizontal="center" vertical="center" wrapText="1"/>
    </xf>
    <xf numFmtId="49" fontId="5" fillId="0" borderId="0" xfId="8" applyNumberFormat="1" applyFill="1" applyBorder="1" applyAlignment="1" applyProtection="1">
      <alignment horizontal="left" vertical="center"/>
    </xf>
    <xf numFmtId="0" fontId="5" fillId="4" borderId="6" xfId="8" applyFont="1" applyFill="1" applyBorder="1" applyAlignment="1" applyProtection="1">
      <alignment vertical="center"/>
    </xf>
    <xf numFmtId="0" fontId="5" fillId="6" borderId="19" xfId="8" applyFill="1" applyBorder="1" applyAlignment="1" applyProtection="1">
      <alignment horizontal="left" vertical="center" indent="1"/>
    </xf>
    <xf numFmtId="0" fontId="5" fillId="6" borderId="10" xfId="8" applyFill="1" applyBorder="1" applyAlignment="1" applyProtection="1">
      <alignment horizontal="left" vertical="center" indent="1"/>
    </xf>
    <xf numFmtId="3" fontId="5" fillId="8" borderId="12" xfId="17" applyNumberFormat="1" applyFont="1" applyFill="1" applyBorder="1" applyAlignment="1" applyProtection="1">
      <alignment horizontal="right" vertical="center"/>
      <protection locked="0"/>
    </xf>
    <xf numFmtId="0" fontId="5" fillId="4" borderId="63" xfId="8" applyBorder="1" applyAlignment="1" applyProtection="1">
      <alignment vertical="center"/>
    </xf>
    <xf numFmtId="0" fontId="6" fillId="8" borderId="12" xfId="8" applyFont="1" applyFill="1" applyBorder="1" applyAlignment="1" applyProtection="1">
      <alignment horizontal="center" vertical="center"/>
      <protection locked="0"/>
    </xf>
    <xf numFmtId="0" fontId="5" fillId="8" borderId="12" xfId="12" applyBorder="1" applyProtection="1">
      <alignment horizontal="left" vertical="center" indent="1"/>
      <protection locked="0"/>
    </xf>
    <xf numFmtId="0" fontId="5" fillId="6" borderId="13" xfId="8" applyFill="1" applyBorder="1" applyAlignment="1" applyProtection="1">
      <alignment horizontal="left" vertical="center" indent="1"/>
    </xf>
    <xf numFmtId="0" fontId="5" fillId="6" borderId="14" xfId="8" applyFill="1" applyBorder="1" applyAlignment="1" applyProtection="1">
      <alignment horizontal="left" vertical="center" indent="1"/>
    </xf>
    <xf numFmtId="3" fontId="5" fillId="8" borderId="12" xfId="5" applyBorder="1" applyProtection="1">
      <alignment horizontal="right" vertical="center"/>
      <protection locked="0"/>
    </xf>
    <xf numFmtId="0" fontId="6" fillId="8" borderId="12" xfId="13" applyBorder="1" applyProtection="1">
      <alignment horizontal="center" vertical="center"/>
      <protection locked="0"/>
    </xf>
    <xf numFmtId="0" fontId="5" fillId="4" borderId="15" xfId="8" applyFont="1" applyBorder="1" applyAlignment="1" applyProtection="1">
      <alignment vertical="center" wrapText="1"/>
    </xf>
    <xf numFmtId="3" fontId="5" fillId="8" borderId="12" xfId="5" applyFont="1" applyBorder="1" applyProtection="1">
      <alignment horizontal="right" vertical="center"/>
      <protection locked="0"/>
    </xf>
    <xf numFmtId="0" fontId="5" fillId="6" borderId="6" xfId="8" applyFont="1" applyFill="1" applyBorder="1" applyAlignment="1" applyProtection="1">
      <alignment vertical="center"/>
    </xf>
    <xf numFmtId="0" fontId="5" fillId="6" borderId="13" xfId="8" applyFill="1" applyBorder="1" applyAlignment="1" applyProtection="1">
      <alignment horizontal="left" vertical="center" indent="2"/>
    </xf>
    <xf numFmtId="0" fontId="5" fillId="6" borderId="14" xfId="8" applyFill="1" applyBorder="1" applyAlignment="1" applyProtection="1">
      <alignment horizontal="left" vertical="center" indent="2"/>
    </xf>
    <xf numFmtId="0" fontId="5" fillId="0" borderId="13" xfId="8" applyFont="1" applyFill="1" applyBorder="1" applyAlignment="1" applyProtection="1">
      <alignment horizontal="left" vertical="center" indent="1"/>
    </xf>
    <xf numFmtId="0" fontId="5" fillId="0" borderId="14" xfId="8" applyFont="1" applyFill="1" applyBorder="1" applyAlignment="1" applyProtection="1">
      <alignment horizontal="left" vertical="center" indent="1"/>
    </xf>
    <xf numFmtId="0" fontId="5" fillId="0" borderId="14" xfId="8" applyFont="1" applyFill="1" applyBorder="1" applyAlignment="1" applyProtection="1">
      <alignment vertical="center"/>
    </xf>
    <xf numFmtId="3" fontId="5" fillId="0" borderId="12" xfId="8" applyNumberFormat="1" applyFont="1" applyFill="1" applyBorder="1" applyAlignment="1" applyProtection="1">
      <alignment horizontal="right" vertical="center"/>
    </xf>
    <xf numFmtId="49" fontId="5" fillId="5" borderId="25" xfId="8" applyNumberFormat="1" applyFill="1" applyBorder="1" applyAlignment="1" applyProtection="1">
      <alignment horizontal="left" vertical="center" indent="1"/>
    </xf>
    <xf numFmtId="0" fontId="5" fillId="0" borderId="0" xfId="8" applyFont="1" applyFill="1" applyBorder="1" applyAlignment="1" applyProtection="1">
      <alignment horizontal="left" vertical="center" indent="1"/>
    </xf>
    <xf numFmtId="0" fontId="5" fillId="8" borderId="12" xfId="12" applyFont="1" applyBorder="1" applyProtection="1">
      <alignment horizontal="left" vertical="center" indent="1"/>
      <protection locked="0"/>
    </xf>
    <xf numFmtId="0" fontId="5" fillId="5" borderId="12" xfId="8" applyFont="1" applyFill="1" applyBorder="1" applyAlignment="1" applyProtection="1">
      <alignment horizontal="left" vertical="center" indent="1"/>
    </xf>
    <xf numFmtId="3" fontId="5" fillId="0" borderId="12" xfId="6" applyBorder="1" applyProtection="1">
      <alignment horizontal="right" vertical="center"/>
    </xf>
    <xf numFmtId="49" fontId="5" fillId="5" borderId="63" xfId="8" applyNumberFormat="1" applyFill="1" applyBorder="1" applyAlignment="1" applyProtection="1">
      <alignment horizontal="left" vertical="center" indent="1"/>
    </xf>
    <xf numFmtId="49" fontId="5" fillId="5" borderId="26" xfId="8" applyNumberFormat="1" applyFill="1" applyBorder="1" applyAlignment="1" applyProtection="1">
      <alignment horizontal="left" vertical="center" indent="1"/>
    </xf>
    <xf numFmtId="0" fontId="4" fillId="6" borderId="6" xfId="10" applyFont="1" applyFill="1" applyBorder="1" applyAlignment="1" applyProtection="1">
      <alignment horizontal="left" vertical="center"/>
    </xf>
    <xf numFmtId="0" fontId="6" fillId="6" borderId="26" xfId="15" applyFont="1" applyFill="1" applyBorder="1" applyAlignment="1" applyProtection="1">
      <alignment horizontal="center" vertical="center"/>
    </xf>
    <xf numFmtId="0" fontId="6" fillId="6" borderId="12" xfId="15" applyFont="1" applyFill="1" applyBorder="1" applyAlignment="1" applyProtection="1">
      <alignment horizontal="center" vertical="center"/>
    </xf>
    <xf numFmtId="0" fontId="4" fillId="4" borderId="6" xfId="10" applyFont="1" applyFill="1" applyBorder="1" applyAlignment="1" applyProtection="1">
      <alignment horizontal="left" vertical="center"/>
    </xf>
    <xf numFmtId="3" fontId="5" fillId="6" borderId="12" xfId="7" applyBorder="1" applyProtection="1">
      <alignment horizontal="right" vertical="center"/>
    </xf>
    <xf numFmtId="0" fontId="5" fillId="4" borderId="8" xfId="8" applyFont="1" applyFill="1" applyBorder="1" applyAlignment="1" applyProtection="1">
      <alignment vertical="center"/>
    </xf>
    <xf numFmtId="0" fontId="5" fillId="4" borderId="20" xfId="8" applyFont="1" applyBorder="1" applyAlignment="1" applyProtection="1">
      <alignment horizontal="left" vertical="center" indent="1"/>
    </xf>
    <xf numFmtId="0" fontId="5" fillId="4" borderId="20" xfId="8" applyFont="1" applyBorder="1" applyAlignment="1" applyProtection="1">
      <alignment vertical="center"/>
    </xf>
    <xf numFmtId="3" fontId="5" fillId="4" borderId="20" xfId="8" applyNumberFormat="1" applyFont="1" applyBorder="1" applyAlignment="1" applyProtection="1">
      <alignment horizontal="right" vertical="center"/>
    </xf>
    <xf numFmtId="49" fontId="5" fillId="4" borderId="20" xfId="8" applyNumberFormat="1" applyFont="1" applyBorder="1" applyAlignment="1" applyProtection="1">
      <alignment horizontal="left" vertical="center" indent="1"/>
    </xf>
    <xf numFmtId="0" fontId="5" fillId="4" borderId="20" xfId="8" applyBorder="1" applyAlignment="1" applyProtection="1">
      <alignment vertical="center"/>
    </xf>
    <xf numFmtId="0" fontId="32" fillId="4" borderId="20" xfId="8" applyFont="1" applyBorder="1" applyAlignment="1" applyProtection="1">
      <alignment horizontal="center" vertical="center"/>
    </xf>
    <xf numFmtId="0" fontId="5" fillId="4" borderId="21" xfId="8" applyBorder="1" applyAlignment="1" applyProtection="1">
      <alignment vertical="center"/>
    </xf>
    <xf numFmtId="0" fontId="4" fillId="6" borderId="6" xfId="10" applyFont="1" applyFill="1" applyBorder="1" applyAlignment="1" applyProtection="1">
      <alignment horizontal="left" vertical="center" indent="1"/>
    </xf>
    <xf numFmtId="0" fontId="4" fillId="6" borderId="0" xfId="10" applyFill="1" applyBorder="1" applyAlignment="1" applyProtection="1">
      <alignment horizontal="left" vertical="center" indent="1"/>
    </xf>
    <xf numFmtId="0" fontId="4" fillId="4" borderId="0" xfId="10" applyFill="1" applyBorder="1" applyAlignment="1" applyProtection="1">
      <alignment horizontal="left" vertical="center"/>
    </xf>
    <xf numFmtId="0" fontId="4" fillId="4" borderId="0" xfId="10" applyFill="1" applyBorder="1" applyAlignment="1" applyProtection="1">
      <alignment vertical="center"/>
    </xf>
    <xf numFmtId="49" fontId="4" fillId="6" borderId="0" xfId="10" applyNumberFormat="1" applyFill="1" applyBorder="1" applyAlignment="1" applyProtection="1">
      <alignment horizontal="left" vertical="center" indent="1"/>
    </xf>
    <xf numFmtId="0" fontId="32" fillId="4" borderId="0" xfId="8" applyFont="1" applyBorder="1" applyAlignment="1" applyProtection="1">
      <alignment horizontal="center" vertical="center"/>
    </xf>
    <xf numFmtId="0" fontId="5" fillId="4" borderId="6" xfId="10" applyFont="1" applyFill="1" applyBorder="1" applyAlignment="1" applyProtection="1">
      <alignment horizontal="left" vertical="center"/>
    </xf>
    <xf numFmtId="0" fontId="5" fillId="6" borderId="22" xfId="8" applyFill="1" applyBorder="1" applyAlignment="1" applyProtection="1">
      <alignment horizontal="left" vertical="center" indent="1"/>
    </xf>
    <xf numFmtId="0" fontId="5" fillId="6" borderId="23" xfId="8" applyFont="1" applyFill="1" applyBorder="1" applyAlignment="1" applyProtection="1">
      <alignment vertical="center"/>
    </xf>
    <xf numFmtId="0" fontId="5" fillId="4" borderId="0" xfId="8" applyBorder="1" applyAlignment="1" applyProtection="1">
      <alignment horizontal="left" vertical="center"/>
    </xf>
    <xf numFmtId="0" fontId="5" fillId="4" borderId="7" xfId="8" applyBorder="1" applyAlignment="1" applyProtection="1">
      <alignment horizontal="left" vertical="center"/>
    </xf>
    <xf numFmtId="0" fontId="5" fillId="0" borderId="13" xfId="8" applyFill="1" applyBorder="1" applyAlignment="1" applyProtection="1">
      <alignment horizontal="left" vertical="center" indent="2"/>
    </xf>
    <xf numFmtId="0" fontId="5" fillId="0" borderId="14" xfId="8" applyFill="1" applyBorder="1" applyAlignment="1" applyProtection="1">
      <alignment horizontal="left" vertical="center" indent="2"/>
    </xf>
    <xf numFmtId="0" fontId="5" fillId="6" borderId="16" xfId="8" applyFill="1" applyBorder="1" applyAlignment="1" applyProtection="1">
      <alignment horizontal="left" vertical="center" indent="2"/>
    </xf>
    <xf numFmtId="0" fontId="5" fillId="6" borderId="17" xfId="8" applyFill="1" applyBorder="1" applyAlignment="1" applyProtection="1">
      <alignment horizontal="left" vertical="center" indent="2"/>
    </xf>
    <xf numFmtId="0" fontId="5" fillId="6" borderId="18" xfId="8" applyFont="1" applyFill="1" applyBorder="1" applyAlignment="1" applyProtection="1">
      <alignment vertical="center"/>
    </xf>
    <xf numFmtId="0" fontId="5" fillId="10" borderId="3" xfId="8" applyFont="1" applyFill="1" applyBorder="1" applyAlignment="1">
      <alignment horizontal="left" vertical="center" indent="1"/>
    </xf>
    <xf numFmtId="0" fontId="5" fillId="10" borderId="4" xfId="8" applyFont="1" applyFill="1" applyBorder="1" applyAlignment="1">
      <alignment horizontal="left" vertical="center" indent="1"/>
    </xf>
    <xf numFmtId="0" fontId="5" fillId="6" borderId="0" xfId="8" applyFont="1" applyFill="1" applyBorder="1" applyAlignment="1" applyProtection="1">
      <alignment horizontal="left" vertical="center" indent="1"/>
    </xf>
    <xf numFmtId="0" fontId="5" fillId="6" borderId="0" xfId="8" applyFont="1" applyFill="1" applyBorder="1" applyAlignment="1" applyProtection="1">
      <alignment horizontal="left" vertical="center"/>
    </xf>
    <xf numFmtId="0" fontId="5" fillId="4" borderId="0" xfId="8" applyFont="1" applyFill="1" applyBorder="1" applyAlignment="1" applyProtection="1">
      <alignment horizontal="right" vertical="center"/>
    </xf>
    <xf numFmtId="0" fontId="5" fillId="4" borderId="0" xfId="8" applyFill="1" applyBorder="1" applyAlignment="1" applyProtection="1">
      <alignment vertical="center"/>
    </xf>
    <xf numFmtId="0" fontId="5" fillId="4" borderId="0" xfId="8" applyFont="1" applyFill="1" applyBorder="1" applyAlignment="1" applyProtection="1">
      <alignment horizontal="left" vertical="center"/>
    </xf>
    <xf numFmtId="0" fontId="5" fillId="4" borderId="61" xfId="8" applyBorder="1" applyAlignment="1" applyProtection="1">
      <alignment vertical="center"/>
    </xf>
    <xf numFmtId="0" fontId="5" fillId="4" borderId="8" xfId="8" applyFont="1" applyFill="1" applyBorder="1" applyAlignment="1" applyProtection="1">
      <alignment horizontal="left" vertical="center"/>
    </xf>
    <xf numFmtId="0" fontId="5" fillId="4" borderId="20" xfId="8" applyBorder="1" applyAlignment="1" applyProtection="1">
      <alignment horizontal="left" vertical="center" indent="1"/>
    </xf>
    <xf numFmtId="49" fontId="5" fillId="4" borderId="20" xfId="8" applyNumberFormat="1" applyBorder="1" applyAlignment="1" applyProtection="1">
      <alignment horizontal="left" vertical="center" indent="1"/>
    </xf>
    <xf numFmtId="0" fontId="5" fillId="6" borderId="23" xfId="8" applyFill="1" applyBorder="1" applyAlignment="1" applyProtection="1">
      <alignment horizontal="center" vertical="center"/>
    </xf>
    <xf numFmtId="166" fontId="5" fillId="8" borderId="3" xfId="8" applyNumberFormat="1" applyFont="1" applyFill="1" applyBorder="1" applyAlignment="1" applyProtection="1">
      <alignment horizontal="right" vertical="center"/>
      <protection locked="0"/>
    </xf>
    <xf numFmtId="3" fontId="5" fillId="6" borderId="27" xfId="17" applyNumberFormat="1" applyFont="1" applyFill="1" applyBorder="1" applyAlignment="1" applyProtection="1">
      <alignment horizontal="right" vertical="center"/>
    </xf>
    <xf numFmtId="0" fontId="5" fillId="6" borderId="15" xfId="8" applyFill="1" applyBorder="1" applyAlignment="1" applyProtection="1">
      <alignment horizontal="center" vertical="center"/>
    </xf>
    <xf numFmtId="167" fontId="5" fillId="8" borderId="3" xfId="8" applyNumberFormat="1" applyFont="1" applyFill="1" applyBorder="1" applyAlignment="1" applyProtection="1">
      <alignment horizontal="right" vertical="center"/>
      <protection locked="0"/>
    </xf>
    <xf numFmtId="3" fontId="5" fillId="6" borderId="28" xfId="17" applyNumberFormat="1" applyFont="1" applyFill="1" applyBorder="1" applyAlignment="1" applyProtection="1">
      <alignment horizontal="right" vertical="center"/>
    </xf>
    <xf numFmtId="168" fontId="5" fillId="8" borderId="3" xfId="8" applyNumberFormat="1" applyFont="1" applyFill="1" applyBorder="1" applyAlignment="1" applyProtection="1">
      <alignment horizontal="right" vertical="center"/>
      <protection locked="0"/>
    </xf>
    <xf numFmtId="169" fontId="5" fillId="8" borderId="3" xfId="8" applyNumberFormat="1" applyFont="1" applyFill="1" applyBorder="1" applyAlignment="1" applyProtection="1">
      <alignment horizontal="right" vertical="center"/>
      <protection locked="0"/>
    </xf>
    <xf numFmtId="170" fontId="5" fillId="8" borderId="3" xfId="8" applyNumberFormat="1" applyFont="1" applyFill="1" applyBorder="1" applyAlignment="1" applyProtection="1">
      <alignment horizontal="right" vertical="center"/>
      <protection locked="0"/>
    </xf>
    <xf numFmtId="171" fontId="5" fillId="8" borderId="3" xfId="8" applyNumberFormat="1" applyFont="1" applyFill="1" applyBorder="1" applyAlignment="1" applyProtection="1">
      <alignment horizontal="right" vertical="center"/>
      <protection locked="0"/>
    </xf>
    <xf numFmtId="172" fontId="5" fillId="8" borderId="3" xfId="8" applyNumberFormat="1" applyFont="1" applyFill="1" applyBorder="1" applyAlignment="1" applyProtection="1">
      <alignment horizontal="right" vertical="center"/>
      <protection locked="0"/>
    </xf>
    <xf numFmtId="173" fontId="5" fillId="8" borderId="3" xfId="8" applyNumberFormat="1" applyFont="1" applyFill="1" applyBorder="1" applyAlignment="1" applyProtection="1">
      <alignment horizontal="right" vertical="center"/>
      <protection locked="0"/>
    </xf>
    <xf numFmtId="174" fontId="5" fillId="8" borderId="3" xfId="8" applyNumberFormat="1" applyFont="1" applyFill="1" applyBorder="1" applyAlignment="1" applyProtection="1">
      <alignment horizontal="right" vertical="center"/>
      <protection locked="0"/>
    </xf>
    <xf numFmtId="175" fontId="5" fillId="8" borderId="3" xfId="8" applyNumberFormat="1" applyFont="1" applyFill="1" applyBorder="1" applyAlignment="1" applyProtection="1">
      <alignment horizontal="right" vertical="center"/>
      <protection locked="0"/>
    </xf>
    <xf numFmtId="176" fontId="5" fillId="8" borderId="3" xfId="8" applyNumberFormat="1" applyFont="1" applyFill="1" applyBorder="1" applyAlignment="1" applyProtection="1">
      <alignment horizontal="right" vertical="center"/>
      <protection locked="0"/>
    </xf>
    <xf numFmtId="177" fontId="5" fillId="8" borderId="12" xfId="8" applyNumberFormat="1" applyFont="1" applyFill="1" applyBorder="1" applyAlignment="1" applyProtection="1">
      <alignment horizontal="right" vertical="center"/>
      <protection locked="0"/>
    </xf>
    <xf numFmtId="49" fontId="5" fillId="5" borderId="3" xfId="8" applyNumberFormat="1" applyFill="1" applyBorder="1" applyAlignment="1" applyProtection="1">
      <alignment horizontal="left" vertical="center" indent="1"/>
    </xf>
    <xf numFmtId="49" fontId="5" fillId="5" borderId="5" xfId="8" applyNumberFormat="1" applyFill="1" applyBorder="1" applyAlignment="1" applyProtection="1">
      <alignment horizontal="left" vertical="center" indent="1"/>
    </xf>
    <xf numFmtId="183" fontId="5" fillId="8" borderId="12" xfId="8" applyNumberFormat="1" applyFont="1" applyFill="1" applyBorder="1" applyAlignment="1" applyProtection="1">
      <alignment horizontal="right" vertical="center"/>
      <protection locked="0"/>
    </xf>
    <xf numFmtId="3" fontId="5" fillId="6" borderId="28" xfId="8" applyNumberFormat="1" applyFont="1" applyFill="1" applyBorder="1" applyAlignment="1" applyProtection="1">
      <alignment horizontal="right" vertical="center"/>
    </xf>
    <xf numFmtId="184" fontId="5" fillId="8" borderId="12" xfId="8" applyNumberFormat="1" applyFont="1" applyFill="1" applyBorder="1" applyAlignment="1" applyProtection="1">
      <alignment horizontal="right" vertical="center"/>
      <protection locked="0"/>
    </xf>
    <xf numFmtId="0" fontId="5" fillId="6" borderId="18" xfId="8" applyFill="1" applyBorder="1" applyAlignment="1" applyProtection="1">
      <alignment horizontal="center" vertical="center"/>
    </xf>
    <xf numFmtId="185" fontId="5" fillId="8" borderId="12" xfId="8" applyNumberFormat="1" applyFont="1" applyFill="1" applyBorder="1" applyAlignment="1" applyProtection="1">
      <alignment horizontal="right" vertical="center"/>
      <protection locked="0"/>
    </xf>
    <xf numFmtId="3" fontId="5" fillId="6" borderId="29" xfId="8" applyNumberFormat="1" applyFont="1" applyFill="1" applyBorder="1" applyAlignment="1" applyProtection="1">
      <alignment horizontal="right" vertical="center"/>
    </xf>
    <xf numFmtId="0" fontId="5" fillId="6" borderId="6" xfId="8" applyFont="1" applyFill="1" applyBorder="1" applyAlignment="1" applyProtection="1">
      <alignment horizontal="left" vertical="center" indent="1"/>
    </xf>
    <xf numFmtId="0" fontId="5" fillId="0" borderId="16" xfId="8" applyFill="1" applyBorder="1" applyAlignment="1" applyProtection="1">
      <alignment horizontal="left" vertical="center" indent="1"/>
    </xf>
    <xf numFmtId="0" fontId="5" fillId="0" borderId="17" xfId="8" applyFill="1" applyBorder="1" applyAlignment="1" applyProtection="1">
      <alignment horizontal="left" vertical="center" indent="1"/>
    </xf>
    <xf numFmtId="0" fontId="4" fillId="3" borderId="3" xfId="4" applyBorder="1" applyProtection="1">
      <alignment horizontal="left" vertical="center" indent="1"/>
    </xf>
    <xf numFmtId="0" fontId="5" fillId="4" borderId="6" xfId="8" applyFont="1" applyFill="1" applyBorder="1" applyAlignment="1" applyProtection="1">
      <alignment horizontal="left" vertical="center" indent="1"/>
    </xf>
    <xf numFmtId="0" fontId="5" fillId="6" borderId="9" xfId="8" applyFill="1" applyBorder="1" applyAlignment="1" applyProtection="1">
      <alignment horizontal="left" vertical="center" indent="1"/>
    </xf>
    <xf numFmtId="0" fontId="5" fillId="0" borderId="13" xfId="8" applyFill="1" applyBorder="1" applyAlignment="1" applyProtection="1">
      <alignment horizontal="left" vertical="center" indent="1"/>
    </xf>
    <xf numFmtId="0" fontId="5" fillId="0" borderId="14" xfId="8" applyFill="1" applyBorder="1" applyAlignment="1" applyProtection="1">
      <alignment horizontal="left" vertical="center" indent="1"/>
    </xf>
    <xf numFmtId="0" fontId="5" fillId="4" borderId="4" xfId="8" applyBorder="1" applyAlignment="1" applyProtection="1">
      <alignment horizontal="left" vertical="center" indent="1"/>
    </xf>
    <xf numFmtId="0" fontId="5" fillId="4" borderId="4" xfId="8" applyBorder="1" applyAlignment="1" applyProtection="1">
      <alignment vertical="center"/>
    </xf>
    <xf numFmtId="0" fontId="32" fillId="4" borderId="61" xfId="8" applyFont="1" applyBorder="1" applyAlignment="1" applyProtection="1">
      <alignment horizontal="center" vertical="center"/>
    </xf>
    <xf numFmtId="3" fontId="5" fillId="8" borderId="5" xfId="5" applyBorder="1" applyProtection="1">
      <alignment horizontal="right" vertical="center"/>
      <protection locked="0"/>
    </xf>
    <xf numFmtId="0" fontId="5" fillId="6" borderId="14" xfId="8" applyFont="1" applyFill="1" applyBorder="1" applyAlignment="1" applyProtection="1">
      <alignment vertical="center"/>
    </xf>
    <xf numFmtId="9" fontId="5" fillId="0" borderId="12" xfId="11" applyFont="1" applyFill="1" applyBorder="1" applyAlignment="1" applyProtection="1">
      <alignment horizontal="right" vertical="center"/>
    </xf>
    <xf numFmtId="3" fontId="5" fillId="8" borderId="5" xfId="5" applyFont="1" applyBorder="1" applyProtection="1">
      <alignment horizontal="right" vertical="center"/>
      <protection locked="0"/>
    </xf>
    <xf numFmtId="0" fontId="5" fillId="6" borderId="16" xfId="8" applyFill="1" applyBorder="1" applyAlignment="1" applyProtection="1">
      <alignment horizontal="left" vertical="center" indent="1"/>
    </xf>
    <xf numFmtId="0" fontId="5" fillId="6" borderId="17" xfId="8" applyFill="1" applyBorder="1" applyAlignment="1" applyProtection="1">
      <alignment horizontal="left" vertical="center" indent="1"/>
    </xf>
    <xf numFmtId="0" fontId="5" fillId="4" borderId="0" xfId="8" applyFont="1" applyFill="1" applyBorder="1" applyAlignment="1" applyProtection="1">
      <alignment vertical="center"/>
    </xf>
    <xf numFmtId="49" fontId="5" fillId="0" borderId="7" xfId="8" applyNumberFormat="1" applyFill="1" applyBorder="1" applyAlignment="1" applyProtection="1">
      <alignment horizontal="left" vertical="center" indent="1"/>
    </xf>
    <xf numFmtId="0" fontId="5" fillId="4" borderId="20" xfId="8" applyFont="1" applyFill="1" applyBorder="1" applyAlignment="1" applyProtection="1">
      <alignment vertical="center"/>
    </xf>
    <xf numFmtId="0" fontId="5" fillId="6" borderId="8" xfId="8" applyFill="1" applyBorder="1" applyAlignment="1" applyProtection="1">
      <alignment horizontal="left" vertical="center" indent="1"/>
    </xf>
    <xf numFmtId="0" fontId="5" fillId="6" borderId="20" xfId="8" applyFill="1" applyBorder="1" applyAlignment="1" applyProtection="1">
      <alignment horizontal="left" vertical="center" indent="1"/>
    </xf>
    <xf numFmtId="0" fontId="5" fillId="6" borderId="21" xfId="8" applyFont="1" applyFill="1" applyBorder="1" applyAlignment="1" applyProtection="1">
      <alignment vertical="center"/>
    </xf>
    <xf numFmtId="49" fontId="5" fillId="0" borderId="20" xfId="8" applyNumberFormat="1" applyFill="1" applyBorder="1" applyAlignment="1" applyProtection="1">
      <alignment horizontal="left" vertical="center" indent="1"/>
    </xf>
    <xf numFmtId="0" fontId="4" fillId="3" borderId="3" xfId="4" applyFill="1" applyProtection="1">
      <alignment horizontal="left" vertical="center" indent="1"/>
    </xf>
    <xf numFmtId="0" fontId="4" fillId="3" borderId="4" xfId="8" applyFont="1" applyFill="1" applyBorder="1" applyProtection="1"/>
    <xf numFmtId="0" fontId="4" fillId="3" borderId="5" xfId="8" applyFont="1" applyFill="1" applyBorder="1" applyProtection="1"/>
    <xf numFmtId="0" fontId="5" fillId="4" borderId="0" xfId="8"/>
    <xf numFmtId="0" fontId="5" fillId="4" borderId="24" xfId="8" applyBorder="1" applyProtection="1"/>
    <xf numFmtId="0" fontId="28" fillId="4" borderId="61" xfId="16" applyFont="1" applyFill="1" applyBorder="1" applyAlignment="1" applyProtection="1"/>
    <xf numFmtId="0" fontId="5" fillId="4" borderId="61" xfId="8" applyBorder="1" applyAlignment="1" applyProtection="1">
      <alignment horizontal="center"/>
    </xf>
    <xf numFmtId="0" fontId="5" fillId="4" borderId="61" xfId="8" applyBorder="1" applyProtection="1"/>
    <xf numFmtId="0" fontId="5" fillId="4" borderId="67" xfId="8" applyBorder="1" applyProtection="1"/>
    <xf numFmtId="0" fontId="5" fillId="4" borderId="6" xfId="8" applyBorder="1" applyProtection="1"/>
    <xf numFmtId="0" fontId="31" fillId="5" borderId="24" xfId="8" applyNumberFormat="1" applyFont="1" applyFill="1" applyBorder="1" applyAlignment="1" applyProtection="1">
      <alignment vertical="center"/>
    </xf>
    <xf numFmtId="0" fontId="31" fillId="5" borderId="67" xfId="8" applyNumberFormat="1" applyFont="1" applyFill="1" applyBorder="1" applyAlignment="1" applyProtection="1">
      <alignment horizontal="right" vertical="center"/>
    </xf>
    <xf numFmtId="0" fontId="31" fillId="4" borderId="6" xfId="8" applyFont="1" applyBorder="1" applyAlignment="1" applyProtection="1">
      <alignment horizontal="center" vertical="center" wrapText="1"/>
    </xf>
    <xf numFmtId="0" fontId="5" fillId="4" borderId="0" xfId="8" applyBorder="1" applyProtection="1"/>
    <xf numFmtId="0" fontId="31" fillId="4" borderId="0" xfId="8" applyFont="1" applyBorder="1" applyAlignment="1" applyProtection="1">
      <alignment horizontal="center" vertical="center"/>
    </xf>
    <xf numFmtId="0" fontId="5" fillId="4" borderId="7" xfId="8" applyBorder="1" applyProtection="1"/>
    <xf numFmtId="0" fontId="31" fillId="5" borderId="8" xfId="8" applyNumberFormat="1" applyFont="1" applyFill="1" applyBorder="1" applyAlignment="1" applyProtection="1">
      <alignment vertical="center"/>
    </xf>
    <xf numFmtId="0" fontId="31" fillId="5" borderId="21" xfId="8" applyNumberFormat="1" applyFont="1" applyFill="1" applyBorder="1" applyAlignment="1" applyProtection="1">
      <alignment horizontal="right" vertical="center"/>
    </xf>
    <xf numFmtId="0" fontId="5" fillId="4" borderId="6" xfId="8" applyFont="1" applyBorder="1" applyAlignment="1" applyProtection="1">
      <alignment vertical="center"/>
    </xf>
    <xf numFmtId="49" fontId="5" fillId="4" borderId="19" xfId="8" applyNumberFormat="1" applyFill="1" applyBorder="1" applyAlignment="1" applyProtection="1">
      <alignment horizontal="left" vertical="center" indent="1"/>
    </xf>
    <xf numFmtId="0" fontId="5" fillId="4" borderId="67" xfId="8" applyBorder="1" applyAlignment="1" applyProtection="1">
      <alignment horizontal="right" indent="1"/>
    </xf>
    <xf numFmtId="186" fontId="5" fillId="8" borderId="12" xfId="8" applyNumberFormat="1" applyFont="1" applyFill="1" applyBorder="1" applyAlignment="1" applyProtection="1">
      <alignment horizontal="right" vertical="center" indent="1"/>
      <protection locked="0"/>
    </xf>
    <xf numFmtId="49" fontId="5" fillId="4" borderId="15" xfId="8" applyNumberFormat="1" applyFill="1" applyBorder="1" applyAlignment="1" applyProtection="1">
      <alignment horizontal="right" vertical="center" indent="1"/>
    </xf>
    <xf numFmtId="49" fontId="5" fillId="4" borderId="16" xfId="8" applyNumberFormat="1" applyFill="1" applyBorder="1" applyAlignment="1" applyProtection="1">
      <alignment horizontal="left" vertical="center" indent="1"/>
    </xf>
    <xf numFmtId="49" fontId="5" fillId="4" borderId="18" xfId="8" applyNumberFormat="1" applyFill="1" applyBorder="1" applyAlignment="1" applyProtection="1">
      <alignment horizontal="right" vertical="center" indent="1"/>
    </xf>
    <xf numFmtId="0" fontId="5" fillId="4" borderId="8" xfId="8" applyBorder="1" applyProtection="1"/>
    <xf numFmtId="0" fontId="5" fillId="4" borderId="20" xfId="8" applyBorder="1" applyProtection="1"/>
    <xf numFmtId="0" fontId="5" fillId="4" borderId="21" xfId="8" applyBorder="1" applyProtection="1"/>
    <xf numFmtId="0" fontId="4" fillId="3" borderId="3" xfId="4" applyFill="1">
      <alignment horizontal="left" vertical="center" indent="1"/>
    </xf>
    <xf numFmtId="0" fontId="4" fillId="3" borderId="4" xfId="8" applyFont="1" applyFill="1" applyBorder="1"/>
    <xf numFmtId="0" fontId="4" fillId="3" borderId="5" xfId="8" applyFont="1" applyFill="1" applyBorder="1"/>
    <xf numFmtId="0" fontId="28" fillId="4" borderId="0" xfId="16" applyFont="1" applyFill="1" applyBorder="1" applyAlignment="1" applyProtection="1"/>
    <xf numFmtId="49" fontId="31" fillId="5" borderId="24" xfId="8" applyNumberFormat="1" applyFont="1" applyFill="1" applyBorder="1" applyAlignment="1" applyProtection="1">
      <alignment horizontal="left" vertical="center"/>
    </xf>
    <xf numFmtId="49" fontId="31" fillId="5" borderId="67" xfId="8" applyNumberFormat="1" applyFont="1" applyFill="1" applyBorder="1" applyAlignment="1" applyProtection="1">
      <alignment horizontal="left" vertical="center"/>
    </xf>
    <xf numFmtId="0" fontId="31" fillId="6" borderId="0" xfId="8" applyFont="1" applyFill="1" applyBorder="1" applyAlignment="1" applyProtection="1">
      <alignment horizontal="center" vertical="center" wrapText="1"/>
    </xf>
    <xf numFmtId="49" fontId="31" fillId="5" borderId="8" xfId="8" applyNumberFormat="1" applyFont="1" applyFill="1" applyBorder="1" applyAlignment="1" applyProtection="1">
      <alignment horizontal="left" vertical="center"/>
    </xf>
    <xf numFmtId="49" fontId="31" fillId="5" borderId="21" xfId="8" applyNumberFormat="1" applyFont="1" applyFill="1" applyBorder="1" applyAlignment="1" applyProtection="1">
      <alignment horizontal="left" vertical="center"/>
    </xf>
    <xf numFmtId="0" fontId="31" fillId="6" borderId="20" xfId="8" applyFont="1" applyFill="1" applyBorder="1" applyAlignment="1" applyProtection="1">
      <alignment horizontal="center" vertical="center" wrapText="1"/>
    </xf>
    <xf numFmtId="0" fontId="5" fillId="6" borderId="23" xfId="8" applyFill="1" applyBorder="1" applyAlignment="1" applyProtection="1">
      <alignment horizontal="left" vertical="center" indent="1"/>
    </xf>
    <xf numFmtId="0" fontId="5" fillId="5" borderId="24" xfId="8" applyFont="1" applyFill="1" applyBorder="1" applyAlignment="1">
      <alignment vertical="center"/>
    </xf>
    <xf numFmtId="0" fontId="5" fillId="5" borderId="67" xfId="8" applyFont="1" applyFill="1" applyBorder="1" applyAlignment="1">
      <alignment vertical="center"/>
    </xf>
    <xf numFmtId="0" fontId="5" fillId="6" borderId="15" xfId="8" applyFill="1" applyBorder="1" applyAlignment="1" applyProtection="1">
      <alignment horizontal="left" vertical="center" indent="1"/>
    </xf>
    <xf numFmtId="0" fontId="5" fillId="5" borderId="8" xfId="8" applyFont="1" applyFill="1" applyBorder="1" applyAlignment="1">
      <alignment vertical="center"/>
    </xf>
    <xf numFmtId="0" fontId="5" fillId="5" borderId="21" xfId="8" applyFont="1" applyFill="1" applyBorder="1" applyAlignment="1">
      <alignment vertical="center"/>
    </xf>
    <xf numFmtId="3" fontId="5" fillId="6" borderId="19" xfId="8" applyNumberFormat="1" applyFont="1" applyFill="1" applyBorder="1" applyAlignment="1">
      <alignment horizontal="right" vertical="center" indent="1"/>
    </xf>
    <xf numFmtId="187" fontId="5" fillId="6" borderId="23" xfId="8" applyNumberFormat="1" applyFont="1" applyFill="1" applyBorder="1" applyAlignment="1" applyProtection="1">
      <alignment horizontal="right" vertical="center" indent="1"/>
    </xf>
    <xf numFmtId="0" fontId="5" fillId="8" borderId="12" xfId="12" applyProtection="1">
      <alignment horizontal="left" vertical="center" indent="1"/>
      <protection locked="0"/>
    </xf>
    <xf numFmtId="3" fontId="5" fillId="6" borderId="13" xfId="8" applyNumberFormat="1" applyFont="1" applyFill="1" applyBorder="1" applyAlignment="1">
      <alignment horizontal="right" vertical="center" indent="1"/>
    </xf>
    <xf numFmtId="187" fontId="5" fillId="6" borderId="15" xfId="8" applyNumberFormat="1" applyFont="1" applyFill="1" applyBorder="1" applyAlignment="1" applyProtection="1">
      <alignment horizontal="right" vertical="center" indent="1"/>
    </xf>
    <xf numFmtId="3" fontId="5" fillId="6" borderId="16" xfId="8" applyNumberFormat="1" applyFont="1" applyFill="1" applyBorder="1" applyAlignment="1">
      <alignment horizontal="right" vertical="center" indent="1"/>
    </xf>
    <xf numFmtId="187" fontId="5" fillId="6" borderId="18" xfId="8" applyNumberFormat="1" applyFont="1" applyFill="1" applyBorder="1" applyAlignment="1" applyProtection="1">
      <alignment horizontal="right" vertical="center" indent="1"/>
    </xf>
    <xf numFmtId="0" fontId="5" fillId="5" borderId="24" xfId="8" applyFill="1" applyBorder="1" applyProtection="1"/>
    <xf numFmtId="0" fontId="5" fillId="5" borderId="67" xfId="8" applyFill="1" applyBorder="1" applyProtection="1"/>
    <xf numFmtId="0" fontId="5" fillId="6" borderId="18" xfId="8" applyFill="1" applyBorder="1" applyAlignment="1" applyProtection="1">
      <alignment horizontal="left" vertical="center" indent="1"/>
    </xf>
    <xf numFmtId="0" fontId="5" fillId="5" borderId="8" xfId="8" applyFill="1" applyBorder="1" applyProtection="1"/>
    <xf numFmtId="0" fontId="5" fillId="5" borderId="21" xfId="8" applyFill="1" applyBorder="1" applyProtection="1"/>
    <xf numFmtId="0" fontId="5" fillId="4" borderId="20" xfId="8" applyBorder="1"/>
    <xf numFmtId="0" fontId="5" fillId="4" borderId="0" xfId="8" applyFont="1" applyAlignment="1">
      <alignment vertical="center"/>
    </xf>
    <xf numFmtId="0" fontId="5" fillId="4" borderId="0" xfId="8" applyFont="1" applyBorder="1" applyAlignment="1">
      <alignment vertical="center"/>
    </xf>
    <xf numFmtId="0" fontId="5" fillId="4" borderId="0" xfId="8" applyBorder="1" applyAlignment="1">
      <alignment vertical="center"/>
    </xf>
    <xf numFmtId="49" fontId="7" fillId="0" borderId="16" xfId="0" applyNumberFormat="1" applyFont="1" applyBorder="1" applyAlignment="1" applyProtection="1">
      <alignment horizontal="left" vertical="center" indent="2"/>
      <protection hidden="1"/>
    </xf>
    <xf numFmtId="0" fontId="12" fillId="7" borderId="12" xfId="8" applyFont="1" applyFill="1" applyBorder="1" applyAlignment="1" applyProtection="1">
      <alignment horizontal="center" vertical="center"/>
    </xf>
    <xf numFmtId="49" fontId="12" fillId="0" borderId="0" xfId="8" applyNumberFormat="1" applyFont="1" applyFill="1" applyBorder="1" applyAlignment="1" applyProtection="1">
      <alignment horizontal="left" vertical="center" indent="1"/>
    </xf>
    <xf numFmtId="0" fontId="12" fillId="7" borderId="12" xfId="8" applyFont="1" applyFill="1" applyBorder="1" applyAlignment="1" applyProtection="1">
      <alignment horizontal="center" vertical="center" wrapText="1"/>
    </xf>
    <xf numFmtId="164" fontId="12" fillId="7" borderId="12" xfId="8" applyNumberFormat="1" applyFont="1" applyFill="1" applyBorder="1" applyAlignment="1" applyProtection="1">
      <alignment horizontal="center" vertical="center"/>
    </xf>
    <xf numFmtId="164" fontId="12" fillId="8" borderId="12" xfId="8" applyNumberFormat="1" applyFont="1" applyFill="1" applyBorder="1" applyAlignment="1" applyProtection="1">
      <alignment horizontal="center" vertical="center"/>
    </xf>
    <xf numFmtId="0" fontId="12" fillId="8" borderId="12" xfId="8" applyFont="1" applyFill="1" applyBorder="1" applyAlignment="1" applyProtection="1">
      <alignment horizontal="center" vertical="center"/>
    </xf>
    <xf numFmtId="0" fontId="12" fillId="9" borderId="12" xfId="8" applyFont="1" applyFill="1" applyBorder="1" applyAlignment="1" applyProtection="1">
      <alignment vertical="center"/>
    </xf>
    <xf numFmtId="165" fontId="12" fillId="8" borderId="12" xfId="9" applyNumberFormat="1" applyFont="1" applyFill="1" applyBorder="1" applyAlignment="1" applyProtection="1">
      <alignment horizontal="center" vertical="center"/>
    </xf>
    <xf numFmtId="0" fontId="12" fillId="8" borderId="12" xfId="8" applyFont="1" applyFill="1" applyBorder="1" applyAlignment="1" applyProtection="1">
      <alignment horizontal="center" vertical="center" wrapText="1"/>
    </xf>
    <xf numFmtId="3" fontId="12" fillId="8" borderId="12" xfId="9" applyNumberFormat="1" applyFont="1" applyFill="1" applyBorder="1" applyAlignment="1" applyProtection="1">
      <alignment horizontal="right" vertical="center"/>
    </xf>
    <xf numFmtId="3" fontId="12" fillId="8" borderId="12" xfId="5" applyFont="1" applyBorder="1" applyProtection="1">
      <alignment horizontal="right" vertical="center"/>
    </xf>
    <xf numFmtId="3" fontId="12" fillId="0" borderId="12" xfId="8" applyNumberFormat="1" applyFont="1" applyFill="1" applyBorder="1" applyAlignment="1" applyProtection="1">
      <alignment horizontal="right" vertical="center"/>
    </xf>
    <xf numFmtId="0" fontId="12" fillId="0" borderId="0" xfId="8" applyFont="1" applyFill="1" applyBorder="1" applyAlignment="1" applyProtection="1">
      <alignment horizontal="left" vertical="center" indent="1"/>
    </xf>
    <xf numFmtId="3" fontId="12" fillId="0" borderId="12" xfId="6" applyFont="1" applyBorder="1" applyProtection="1">
      <alignment horizontal="right" vertical="center"/>
    </xf>
    <xf numFmtId="3" fontId="12" fillId="6" borderId="12" xfId="7" applyFont="1" applyBorder="1" applyProtection="1">
      <alignment horizontal="right" vertical="center"/>
    </xf>
    <xf numFmtId="3" fontId="12" fillId="6" borderId="25" xfId="7" applyFont="1" applyBorder="1" applyProtection="1">
      <alignment horizontal="right" vertical="center"/>
    </xf>
    <xf numFmtId="0" fontId="12" fillId="0" borderId="0" xfId="8" applyNumberFormat="1" applyFont="1" applyFill="1" applyBorder="1" applyAlignment="1" applyProtection="1">
      <alignment horizontal="left" vertical="center" indent="1"/>
    </xf>
    <xf numFmtId="3" fontId="12" fillId="6" borderId="27" xfId="9" applyNumberFormat="1" applyFont="1" applyFill="1" applyBorder="1" applyAlignment="1" applyProtection="1">
      <alignment horizontal="right" vertical="center"/>
    </xf>
    <xf numFmtId="3" fontId="12" fillId="6" borderId="28" xfId="9" applyNumberFormat="1" applyFont="1" applyFill="1" applyBorder="1" applyAlignment="1" applyProtection="1">
      <alignment horizontal="right" vertical="center"/>
    </xf>
    <xf numFmtId="3" fontId="12" fillId="6" borderId="29" xfId="8" applyNumberFormat="1" applyFont="1" applyFill="1" applyBorder="1" applyAlignment="1" applyProtection="1">
      <alignment horizontal="right" vertical="center"/>
    </xf>
    <xf numFmtId="1" fontId="12" fillId="4" borderId="0" xfId="8" applyNumberFormat="1" applyFont="1" applyAlignment="1" applyProtection="1">
      <alignment horizontal="right" vertical="center"/>
    </xf>
    <xf numFmtId="1" fontId="12" fillId="0" borderId="0" xfId="8" applyNumberFormat="1" applyFont="1" applyFill="1" applyAlignment="1" applyProtection="1">
      <alignment horizontal="right" vertical="center"/>
    </xf>
    <xf numFmtId="0" fontId="31" fillId="4" borderId="0" xfId="8" applyFont="1" applyBorder="1" applyAlignment="1" applyProtection="1">
      <alignment horizontal="center" vertical="center" wrapText="1"/>
    </xf>
    <xf numFmtId="0" fontId="31" fillId="4" borderId="20" xfId="8" applyFont="1" applyBorder="1" applyAlignment="1" applyProtection="1">
      <alignment horizontal="center" vertical="center" wrapText="1"/>
    </xf>
    <xf numFmtId="0" fontId="5" fillId="10" borderId="4" xfId="8" applyFont="1" applyFill="1" applyBorder="1" applyAlignment="1" applyProtection="1">
      <alignment horizontal="left" vertical="center" indent="1"/>
    </xf>
    <xf numFmtId="0" fontId="17" fillId="0" borderId="0" xfId="0" applyFont="1"/>
    <xf numFmtId="0" fontId="1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12" fillId="10" borderId="3" xfId="8" applyFont="1" applyFill="1" applyBorder="1" applyAlignment="1" applyProtection="1">
      <alignment horizontal="left" vertical="center" indent="1"/>
    </xf>
    <xf numFmtId="0" fontId="12" fillId="10" borderId="4" xfId="8" applyFont="1" applyFill="1" applyBorder="1" applyAlignment="1" applyProtection="1">
      <alignment horizontal="left" vertical="center" indent="1"/>
    </xf>
    <xf numFmtId="0" fontId="33" fillId="0" borderId="0" xfId="14" applyFont="1" applyFill="1" applyAlignment="1" applyProtection="1">
      <alignment horizontal="left" vertical="top" wrapText="1"/>
    </xf>
    <xf numFmtId="0" fontId="12" fillId="0" borderId="0" xfId="8" applyFont="1" applyFill="1" applyAlignment="1" applyProtection="1">
      <alignment horizontal="left" vertical="top"/>
    </xf>
    <xf numFmtId="0" fontId="12" fillId="0" borderId="0" xfId="8" applyFont="1" applyFill="1" applyAlignment="1" applyProtection="1">
      <alignment horizontal="left" vertical="top" wrapText="1"/>
    </xf>
    <xf numFmtId="0" fontId="21" fillId="0" borderId="0" xfId="0" applyFont="1" applyFill="1" applyAlignment="1" applyProtection="1">
      <alignment horizontal="right" vertical="center"/>
    </xf>
    <xf numFmtId="0" fontId="12" fillId="0" borderId="0" xfId="8" applyFont="1" applyFill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/>
    </xf>
    <xf numFmtId="0" fontId="12" fillId="4" borderId="0" xfId="8" applyFont="1" applyAlignment="1" applyProtection="1">
      <alignment horizontal="right" vertical="center"/>
    </xf>
    <xf numFmtId="14" fontId="21" fillId="0" borderId="0" xfId="0" applyNumberFormat="1" applyFont="1" applyAlignment="1" applyProtection="1">
      <alignment horizontal="right" vertical="center"/>
    </xf>
    <xf numFmtId="14" fontId="12" fillId="4" borderId="0" xfId="8" applyNumberFormat="1" applyFont="1" applyAlignment="1" applyProtection="1">
      <alignment horizontal="right" vertical="center"/>
    </xf>
    <xf numFmtId="14" fontId="12" fillId="0" borderId="0" xfId="8" applyNumberFormat="1" applyFont="1" applyFill="1" applyAlignment="1" applyProtection="1">
      <alignment horizontal="right" vertical="center"/>
    </xf>
    <xf numFmtId="0" fontId="36" fillId="11" borderId="0" xfId="0" applyFont="1" applyFill="1" applyAlignment="1"/>
    <xf numFmtId="0" fontId="36" fillId="11" borderId="0" xfId="0" applyFont="1" applyFill="1" applyAlignment="1">
      <alignment horizontal="center"/>
    </xf>
    <xf numFmtId="180" fontId="10" fillId="6" borderId="0" xfId="2" applyNumberFormat="1" applyFont="1" applyFill="1" applyBorder="1" applyAlignment="1" applyProtection="1">
      <alignment horizontal="center" vertical="center" wrapText="1"/>
      <protection hidden="1"/>
    </xf>
    <xf numFmtId="180" fontId="10" fillId="6" borderId="20" xfId="2" applyNumberFormat="1" applyFont="1" applyFill="1" applyBorder="1" applyAlignment="1" applyProtection="1">
      <alignment horizontal="center" vertical="center" wrapText="1"/>
      <protection hidden="1"/>
    </xf>
    <xf numFmtId="0" fontId="7" fillId="10" borderId="3" xfId="0" applyFont="1" applyFill="1" applyBorder="1" applyAlignment="1" applyProtection="1">
      <alignment horizontal="left" vertical="center" indent="1"/>
      <protection hidden="1"/>
    </xf>
    <xf numFmtId="0" fontId="7" fillId="10" borderId="4" xfId="0" applyFont="1" applyFill="1" applyBorder="1" applyAlignment="1" applyProtection="1">
      <alignment horizontal="left" vertical="center" indent="1"/>
      <protection hidden="1"/>
    </xf>
    <xf numFmtId="0" fontId="11" fillId="10" borderId="5" xfId="0" applyFont="1" applyFill="1" applyBorder="1" applyAlignment="1" applyProtection="1">
      <alignment horizontal="left" vertical="center" indent="1"/>
      <protection hidden="1"/>
    </xf>
    <xf numFmtId="0" fontId="7" fillId="10" borderId="3" xfId="0" applyFont="1" applyFill="1" applyBorder="1" applyAlignment="1" applyProtection="1">
      <alignment horizontal="left" vertical="center" wrapText="1" indent="1"/>
      <protection hidden="1"/>
    </xf>
    <xf numFmtId="0" fontId="7" fillId="10" borderId="4" xfId="0" applyFont="1" applyFill="1" applyBorder="1" applyAlignment="1" applyProtection="1">
      <alignment horizontal="left" vertical="center" wrapText="1" indent="1"/>
      <protection hidden="1"/>
    </xf>
    <xf numFmtId="0" fontId="7" fillId="10" borderId="5" xfId="0" applyFont="1" applyFill="1" applyBorder="1" applyAlignment="1" applyProtection="1">
      <alignment horizontal="left" vertical="center" wrapText="1" indent="1"/>
      <protection hidden="1"/>
    </xf>
    <xf numFmtId="49" fontId="10" fillId="5" borderId="25" xfId="0" applyNumberFormat="1" applyFont="1" applyFill="1" applyBorder="1" applyAlignment="1" applyProtection="1">
      <alignment horizontal="left" vertical="center" wrapText="1"/>
      <protection hidden="1"/>
    </xf>
    <xf numFmtId="49" fontId="10" fillId="5" borderId="26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20" xfId="0" applyFont="1" applyBorder="1" applyAlignment="1" applyProtection="1">
      <alignment horizontal="center" vertical="center" wrapText="1"/>
      <protection hidden="1"/>
    </xf>
    <xf numFmtId="0" fontId="13" fillId="16" borderId="32" xfId="0" applyFont="1" applyFill="1" applyBorder="1" applyAlignment="1" applyProtection="1">
      <alignment horizontal="center" vertical="center" wrapText="1"/>
    </xf>
    <xf numFmtId="0" fontId="11" fillId="0" borderId="60" xfId="0" applyFont="1" applyBorder="1" applyAlignment="1">
      <alignment horizontal="left" vertical="center"/>
    </xf>
    <xf numFmtId="0" fontId="16" fillId="12" borderId="51" xfId="0" applyFont="1" applyFill="1" applyBorder="1" applyAlignment="1" applyProtection="1">
      <alignment horizontal="center" vertical="center"/>
    </xf>
    <xf numFmtId="0" fontId="16" fillId="12" borderId="52" xfId="0" applyFont="1" applyFill="1" applyBorder="1" applyAlignment="1" applyProtection="1">
      <alignment horizontal="center" vertical="center"/>
    </xf>
    <xf numFmtId="0" fontId="16" fillId="12" borderId="53" xfId="0" applyFont="1" applyFill="1" applyBorder="1" applyAlignment="1" applyProtection="1">
      <alignment horizontal="center" vertical="center"/>
    </xf>
    <xf numFmtId="0" fontId="14" fillId="12" borderId="36" xfId="0" applyFont="1" applyFill="1" applyBorder="1" applyAlignment="1" applyProtection="1">
      <alignment horizontal="center" vertical="top" wrapText="1"/>
    </xf>
    <xf numFmtId="0" fontId="14" fillId="12" borderId="12" xfId="0" applyFont="1" applyFill="1" applyBorder="1" applyAlignment="1" applyProtection="1">
      <alignment horizontal="center" vertical="top" wrapText="1"/>
    </xf>
    <xf numFmtId="0" fontId="14" fillId="12" borderId="37" xfId="0" applyFont="1" applyFill="1" applyBorder="1" applyAlignment="1" applyProtection="1">
      <alignment horizontal="center" vertical="top" wrapText="1"/>
    </xf>
    <xf numFmtId="0" fontId="13" fillId="13" borderId="32" xfId="0" applyFont="1" applyFill="1" applyBorder="1" applyAlignment="1" applyProtection="1">
      <alignment horizontal="center" vertical="center"/>
    </xf>
    <xf numFmtId="0" fontId="13" fillId="17" borderId="32" xfId="0" applyFont="1" applyFill="1" applyBorder="1" applyAlignment="1" applyProtection="1">
      <alignment horizontal="center" vertical="center" wrapText="1"/>
    </xf>
    <xf numFmtId="0" fontId="13" fillId="15" borderId="32" xfId="0" applyFont="1" applyFill="1" applyBorder="1" applyAlignment="1" applyProtection="1">
      <alignment horizontal="center" vertical="center"/>
    </xf>
    <xf numFmtId="0" fontId="12" fillId="6" borderId="9" xfId="8" applyFont="1" applyFill="1" applyBorder="1" applyAlignment="1" applyProtection="1">
      <alignment horizontal="left" vertical="center" wrapText="1" indent="1"/>
    </xf>
    <xf numFmtId="0" fontId="12" fillId="6" borderId="10" xfId="8" applyFont="1" applyFill="1" applyBorder="1" applyAlignment="1" applyProtection="1">
      <alignment horizontal="left" vertical="center" wrapText="1" indent="1"/>
    </xf>
    <xf numFmtId="0" fontId="12" fillId="6" borderId="11" xfId="8" applyFont="1" applyFill="1" applyBorder="1" applyAlignment="1" applyProtection="1">
      <alignment horizontal="left" vertical="center" wrapText="1" indent="1"/>
    </xf>
    <xf numFmtId="0" fontId="12" fillId="10" borderId="3" xfId="8" applyFont="1" applyFill="1" applyBorder="1" applyAlignment="1" applyProtection="1">
      <alignment horizontal="left" vertical="center" wrapText="1" indent="1"/>
    </xf>
    <xf numFmtId="0" fontId="12" fillId="10" borderId="4" xfId="8" applyFont="1" applyFill="1" applyBorder="1" applyAlignment="1" applyProtection="1">
      <alignment horizontal="left" vertical="center" wrapText="1" indent="1"/>
    </xf>
    <xf numFmtId="0" fontId="12" fillId="10" borderId="5" xfId="8" applyFont="1" applyFill="1" applyBorder="1" applyAlignment="1" applyProtection="1">
      <alignment horizontal="left" vertical="center" wrapText="1" indent="1"/>
    </xf>
    <xf numFmtId="0" fontId="1" fillId="10" borderId="3" xfId="0" applyFont="1" applyFill="1" applyBorder="1" applyAlignment="1" applyProtection="1">
      <alignment horizontal="left" vertical="center" wrapText="1" indent="1"/>
    </xf>
    <xf numFmtId="0" fontId="1" fillId="10" borderId="4" xfId="0" applyFont="1" applyFill="1" applyBorder="1" applyAlignment="1" applyProtection="1">
      <alignment horizontal="left" vertical="center" wrapText="1" indent="1"/>
    </xf>
    <xf numFmtId="0" fontId="1" fillId="10" borderId="5" xfId="0" applyFont="1" applyFill="1" applyBorder="1" applyAlignment="1" applyProtection="1">
      <alignment horizontal="left" vertical="center" wrapText="1" indent="1"/>
    </xf>
    <xf numFmtId="0" fontId="12" fillId="10" borderId="3" xfId="8" applyFont="1" applyFill="1" applyBorder="1" applyAlignment="1" applyProtection="1">
      <alignment horizontal="left" vertical="center" indent="1"/>
    </xf>
    <xf numFmtId="0" fontId="12" fillId="10" borderId="4" xfId="8" applyFont="1" applyFill="1" applyBorder="1" applyAlignment="1" applyProtection="1">
      <alignment horizontal="left" vertical="center" indent="1"/>
    </xf>
    <xf numFmtId="0" fontId="12" fillId="10" borderId="5" xfId="8" applyFont="1" applyFill="1" applyBorder="1" applyAlignment="1" applyProtection="1">
      <alignment horizontal="left" vertical="center" indent="1"/>
    </xf>
    <xf numFmtId="0" fontId="31" fillId="6" borderId="0" xfId="10" applyFont="1" applyFill="1" applyBorder="1" applyAlignment="1" applyProtection="1">
      <alignment horizontal="center" vertical="center" wrapText="1"/>
    </xf>
    <xf numFmtId="0" fontId="31" fillId="6" borderId="20" xfId="10" applyFont="1" applyFill="1" applyBorder="1" applyAlignment="1" applyProtection="1">
      <alignment horizontal="center" vertical="center" wrapText="1"/>
    </xf>
    <xf numFmtId="0" fontId="5" fillId="10" borderId="3" xfId="8" applyFont="1" applyFill="1" applyBorder="1" applyAlignment="1" applyProtection="1">
      <alignment horizontal="left" vertical="center" indent="1"/>
    </xf>
    <xf numFmtId="0" fontId="5" fillId="10" borderId="4" xfId="8" applyFont="1" applyFill="1" applyBorder="1" applyAlignment="1" applyProtection="1">
      <alignment horizontal="left" vertical="center" indent="1"/>
    </xf>
    <xf numFmtId="0" fontId="5" fillId="10" borderId="5" xfId="8" applyFont="1" applyFill="1" applyBorder="1" applyAlignment="1" applyProtection="1">
      <alignment horizontal="left" vertical="center" indent="1"/>
    </xf>
    <xf numFmtId="0" fontId="28" fillId="4" borderId="20" xfId="16" applyFont="1" applyFill="1" applyBorder="1" applyAlignment="1" applyProtection="1">
      <alignment horizontal="center" vertical="center"/>
    </xf>
    <xf numFmtId="0" fontId="5" fillId="6" borderId="64" xfId="8" applyFill="1" applyBorder="1" applyAlignment="1" applyProtection="1">
      <alignment horizontal="left" vertical="center" wrapText="1" indent="1"/>
    </xf>
    <xf numFmtId="0" fontId="5" fillId="6" borderId="65" xfId="8" applyFill="1" applyBorder="1" applyAlignment="1" applyProtection="1">
      <alignment horizontal="left" vertical="center" wrapText="1" indent="1"/>
    </xf>
    <xf numFmtId="0" fontId="5" fillId="6" borderId="66" xfId="8" applyFill="1" applyBorder="1" applyAlignment="1" applyProtection="1">
      <alignment horizontal="left" vertical="center" wrapText="1" indent="1"/>
    </xf>
    <xf numFmtId="0" fontId="5" fillId="6" borderId="9" xfId="8" applyFill="1" applyBorder="1" applyAlignment="1" applyProtection="1">
      <alignment horizontal="left" vertical="center" wrapText="1" indent="1"/>
    </xf>
    <xf numFmtId="0" fontId="5" fillId="6" borderId="10" xfId="8" applyFill="1" applyBorder="1" applyAlignment="1" applyProtection="1">
      <alignment horizontal="left" vertical="center" wrapText="1" indent="1"/>
    </xf>
    <xf numFmtId="0" fontId="5" fillId="6" borderId="11" xfId="8" applyFill="1" applyBorder="1" applyAlignment="1" applyProtection="1">
      <alignment horizontal="left" vertical="center" wrapText="1" indent="1"/>
    </xf>
    <xf numFmtId="0" fontId="5" fillId="6" borderId="64" xfId="8" applyFill="1" applyBorder="1" applyAlignment="1" applyProtection="1">
      <alignment horizontal="left" vertical="center" wrapText="1" indent="2"/>
    </xf>
    <xf numFmtId="0" fontId="5" fillId="6" borderId="65" xfId="8" applyFill="1" applyBorder="1" applyAlignment="1" applyProtection="1">
      <alignment horizontal="left" vertical="center" wrapText="1" indent="2"/>
    </xf>
    <xf numFmtId="0" fontId="5" fillId="6" borderId="66" xfId="8" applyFill="1" applyBorder="1" applyAlignment="1" applyProtection="1">
      <alignment horizontal="left" vertical="center" wrapText="1" indent="2"/>
    </xf>
    <xf numFmtId="0" fontId="5" fillId="6" borderId="9" xfId="8" applyFill="1" applyBorder="1" applyAlignment="1" applyProtection="1">
      <alignment horizontal="left" vertical="center" wrapText="1" indent="2"/>
    </xf>
    <xf numFmtId="0" fontId="5" fillId="6" borderId="10" xfId="8" applyFill="1" applyBorder="1" applyAlignment="1" applyProtection="1">
      <alignment horizontal="left" vertical="center" wrapText="1" indent="2"/>
    </xf>
    <xf numFmtId="0" fontId="5" fillId="6" borderId="11" xfId="8" applyFill="1" applyBorder="1" applyAlignment="1" applyProtection="1">
      <alignment horizontal="left" vertical="center" wrapText="1" indent="2"/>
    </xf>
    <xf numFmtId="0" fontId="5" fillId="10" borderId="3" xfId="8" applyFont="1" applyFill="1" applyBorder="1" applyAlignment="1">
      <alignment horizontal="left" vertical="center" wrapText="1" indent="1"/>
    </xf>
    <xf numFmtId="0" fontId="5" fillId="10" borderId="4" xfId="8" applyFont="1" applyFill="1" applyBorder="1" applyAlignment="1">
      <alignment horizontal="left" vertical="center" wrapText="1" indent="1"/>
    </xf>
    <xf numFmtId="0" fontId="5" fillId="10" borderId="5" xfId="8" applyFont="1" applyFill="1" applyBorder="1" applyAlignment="1">
      <alignment horizontal="left" vertical="center" wrapText="1" indent="1"/>
    </xf>
    <xf numFmtId="0" fontId="5" fillId="10" borderId="24" xfId="8" applyFont="1" applyFill="1" applyBorder="1" applyAlignment="1" applyProtection="1">
      <alignment horizontal="left" vertical="center" wrapText="1" indent="1"/>
    </xf>
    <xf numFmtId="0" fontId="5" fillId="10" borderId="61" xfId="8" applyFont="1" applyFill="1" applyBorder="1" applyAlignment="1" applyProtection="1">
      <alignment horizontal="left" vertical="center" wrapText="1" indent="1"/>
    </xf>
    <xf numFmtId="0" fontId="5" fillId="10" borderId="67" xfId="8" applyFont="1" applyFill="1" applyBorder="1" applyAlignment="1" applyProtection="1">
      <alignment horizontal="left" vertical="center" wrapText="1" indent="1"/>
    </xf>
    <xf numFmtId="0" fontId="5" fillId="10" borderId="8" xfId="8" applyFont="1" applyFill="1" applyBorder="1" applyAlignment="1" applyProtection="1">
      <alignment horizontal="left" vertical="center" wrapText="1" indent="1"/>
    </xf>
    <xf numFmtId="0" fontId="5" fillId="10" borderId="20" xfId="8" applyFont="1" applyFill="1" applyBorder="1" applyAlignment="1" applyProtection="1">
      <alignment horizontal="left" vertical="center" wrapText="1" indent="1"/>
    </xf>
    <xf numFmtId="0" fontId="5" fillId="10" borderId="21" xfId="8" applyFont="1" applyFill="1" applyBorder="1" applyAlignment="1" applyProtection="1">
      <alignment horizontal="left" vertical="center" wrapText="1" indent="1"/>
    </xf>
    <xf numFmtId="49" fontId="31" fillId="5" borderId="25" xfId="8" applyNumberFormat="1" applyFont="1" applyFill="1" applyBorder="1" applyAlignment="1" applyProtection="1">
      <alignment horizontal="left" vertical="center" wrapText="1"/>
    </xf>
    <xf numFmtId="49" fontId="31" fillId="5" borderId="26" xfId="8" applyNumberFormat="1" applyFont="1" applyFill="1" applyBorder="1" applyAlignment="1" applyProtection="1">
      <alignment horizontal="left" vertical="center" wrapText="1"/>
    </xf>
    <xf numFmtId="0" fontId="31" fillId="4" borderId="0" xfId="8" applyFont="1" applyBorder="1" applyAlignment="1" applyProtection="1">
      <alignment horizontal="center" vertical="center" wrapText="1"/>
    </xf>
    <xf numFmtId="0" fontId="31" fillId="4" borderId="20" xfId="8" applyFont="1" applyBorder="1" applyAlignment="1" applyProtection="1">
      <alignment horizontal="center" vertical="center" wrapText="1"/>
    </xf>
  </cellXfs>
  <cellStyles count="18">
    <cellStyle name="Amounts" xfId="5"/>
    <cellStyle name="Bad" xfId="15" builtinId="27"/>
    <cellStyle name="Calculated" xfId="6"/>
    <cellStyle name="Category" xfId="4"/>
    <cellStyle name="Comma" xfId="1" builtinId="3"/>
    <cellStyle name="Comma 2" xfId="9"/>
    <cellStyle name="Comma 3" xfId="17"/>
    <cellStyle name="Comments" xfId="12"/>
    <cellStyle name="Heading 1 2" xfId="16"/>
    <cellStyle name="Heading 2" xfId="2" builtinId="17"/>
    <cellStyle name="Heading 2 2" xfId="10"/>
    <cellStyle name="Hyperlink" xfId="14" builtinId="8"/>
    <cellStyle name="Input" xfId="3" builtinId="20"/>
    <cellStyle name="Normal" xfId="0" builtinId="0"/>
    <cellStyle name="Normal 2" xfId="8"/>
    <cellStyle name="Percent 2" xfId="11"/>
    <cellStyle name="Remark" xfId="13"/>
    <cellStyle name="Total2" xfId="7"/>
  </cellStyles>
  <dxfs count="14">
    <dxf>
      <fill>
        <patternFill>
          <bgColor rgb="FFFFC7CE"/>
        </patternFill>
      </fill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7CE"/>
        </patternFill>
      </fill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51965811965817E-2"/>
          <c:y val="9.0531597222222218E-2"/>
          <c:w val="0.9380279487179487"/>
          <c:h val="0.67558981481481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- 2013'!$F$6</c:f>
              <c:strCache>
                <c:ptCount val="1"/>
                <c:pt idx="0">
                  <c:v>Total exposures 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- 2013'!$F$7:$F$42</c:f>
              <c:numCache>
                <c:formatCode>###\ ###\ ##0</c:formatCode>
                <c:ptCount val="36"/>
                <c:pt idx="0">
                  <c:v>421707.62530000001</c:v>
                </c:pt>
                <c:pt idx="1">
                  <c:v>211182.77753939002</c:v>
                </c:pt>
                <c:pt idx="2">
                  <c:v>212493.35845458001</c:v>
                </c:pt>
                <c:pt idx="3" formatCode="###\ ###\ ###\ ###\ ##0">
                  <c:v>1962639.6087325828</c:v>
                </c:pt>
                <c:pt idx="4" formatCode="###\ ###\ ###\ ###\ ##0">
                  <c:v>289756.51520661876</c:v>
                </c:pt>
                <c:pt idx="5" formatCode="###\ ###\ ###\ ###\ ##0">
                  <c:v>681163.78104474302</c:v>
                </c:pt>
                <c:pt idx="6" formatCode="###\ ###\ ###\ ###\ ##0">
                  <c:v>2031623.0665639413</c:v>
                </c:pt>
                <c:pt idx="7" formatCode="###\ ###\ ###\ ###\ ##0">
                  <c:v>1235027</c:v>
                </c:pt>
                <c:pt idx="8" formatCode="###\ ###\ ###\ ###\ ##0">
                  <c:v>686192</c:v>
                </c:pt>
                <c:pt idx="9" formatCode="###\ ###\ ###\ ###\ ##0">
                  <c:v>1746395</c:v>
                </c:pt>
                <c:pt idx="10" formatCode="###\ ###\ ###\ ###\ ##0">
                  <c:v>635772.76807416882</c:v>
                </c:pt>
                <c:pt idx="11" formatCode="###\ ###\ ###\ ###\ ##0">
                  <c:v>474469.65387711767</c:v>
                </c:pt>
                <c:pt idx="12" formatCode="###\ ###\ ###\ ###\ ##0">
                  <c:v>1747748.1287083481</c:v>
                </c:pt>
                <c:pt idx="13" formatCode="###\ ###\ ###\ ###\ ##0">
                  <c:v>287606.12399665877</c:v>
                </c:pt>
                <c:pt idx="14" formatCode="###\ ###\ ###\ ###\ ##0">
                  <c:v>335983.80239999999</c:v>
                </c:pt>
                <c:pt idx="15" formatCode="###\ ###\ ###\ ###\ ##0">
                  <c:v>230991.54858738001</c:v>
                </c:pt>
                <c:pt idx="16" formatCode="###\ ###\ ###\ ###\ ##0">
                  <c:v>323792.993369648</c:v>
                </c:pt>
                <c:pt idx="17" formatCode="###\ ###\ ###\ ###\ ##0">
                  <c:v>205373.3675947866</c:v>
                </c:pt>
                <c:pt idx="18" formatCode="###\ ###\ ###\ ###\ ##0">
                  <c:v>2414659.9732727744</c:v>
                </c:pt>
                <c:pt idx="19" formatCode="###\ ###\ ###\ ###\ ##0">
                  <c:v>934934.3</c:v>
                </c:pt>
                <c:pt idx="20" formatCode="###\ ###\ ###\ ###\ ##0">
                  <c:v>686739.46308654896</c:v>
                </c:pt>
                <c:pt idx="21" formatCode="###\ ###\ ###\ ###\ ##0">
                  <c:v>236939.41234585541</c:v>
                </c:pt>
                <c:pt idx="22" formatCode="###\ ###\ ###\ ###\ ##0">
                  <c:v>376236.27477390075</c:v>
                </c:pt>
                <c:pt idx="23" formatCode="###\ ###\ ###\ ###\ ##0">
                  <c:v>312590.79452339001</c:v>
                </c:pt>
                <c:pt idx="24" formatCode="###\ ###\ ###\ ###\ ##0">
                  <c:v>999270.27278693754</c:v>
                </c:pt>
                <c:pt idx="25" formatCode="###\ ###\ ###\ ###\ ##0">
                  <c:v>253251.52928110558</c:v>
                </c:pt>
                <c:pt idx="26" formatCode="###\ ###\ ###\ ###\ ##0">
                  <c:v>663362.29999999993</c:v>
                </c:pt>
                <c:pt idx="27" formatCode="###\ ###\ ###\ ###\ ##0">
                  <c:v>225518.96919999999</c:v>
                </c:pt>
                <c:pt idx="28" formatCode="###\ ###\ ###\ ###\ ##0">
                  <c:v>731867.1</c:v>
                </c:pt>
                <c:pt idx="29" formatCode="###\ ###\ ###\ ###\ ##0">
                  <c:v>1394037.7831221577</c:v>
                </c:pt>
                <c:pt idx="30" formatCode="###\ ###\ ###\ ###\ ##0">
                  <c:v>1379106.7149738988</c:v>
                </c:pt>
                <c:pt idx="31" formatCode="###\ ###\ ###\ ###\ ##0">
                  <c:v>281513.48272757203</c:v>
                </c:pt>
                <c:pt idx="32" formatCode="###\ ###\ ###\ ###\ ##0">
                  <c:v>1296685.1514638928</c:v>
                </c:pt>
                <c:pt idx="33" formatCode="###\ ###\ ###\ ###\ ##0">
                  <c:v>583762.79493429174</c:v>
                </c:pt>
                <c:pt idx="34" formatCode="###\ ###\ ###\ ###\ ##0">
                  <c:v>218642.36201695254</c:v>
                </c:pt>
                <c:pt idx="35">
                  <c:v>1004589.7801410151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569344"/>
        <c:axId val="71702016"/>
      </c:barChart>
      <c:catAx>
        <c:axId val="70569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 vert="horz"/>
          <a:lstStyle/>
          <a:p>
            <a:pPr>
              <a:defRPr sz="800" b="0"/>
            </a:pPr>
            <a:endParaRPr lang="en-US"/>
          </a:p>
        </c:txPr>
        <c:crossAx val="71702016"/>
        <c:crosses val="autoZero"/>
        <c:auto val="1"/>
        <c:lblAlgn val="ctr"/>
        <c:lblOffset val="100"/>
        <c:noMultiLvlLbl val="0"/>
      </c:catAx>
      <c:valAx>
        <c:axId val="71702016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705693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439316239316241E-2"/>
                <c:y val="3.5259259259259258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^9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1025641025635E-2"/>
          <c:y val="0.11698993055555555"/>
          <c:w val="0.94779717948717945"/>
          <c:h val="0.629532716049382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- 2013'!$G$6</c:f>
              <c:strCache>
                <c:ptCount val="1"/>
                <c:pt idx="0">
                  <c:v>Intra-financial system assets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- 2013'!$G$7:$G$42</c:f>
              <c:numCache>
                <c:formatCode>###\ ###\ ##0</c:formatCode>
                <c:ptCount val="36"/>
                <c:pt idx="0">
                  <c:v>52974.052000000003</c:v>
                </c:pt>
                <c:pt idx="1">
                  <c:v>35384.270932019994</c:v>
                </c:pt>
                <c:pt idx="2">
                  <c:v>22171.210999999999</c:v>
                </c:pt>
                <c:pt idx="3" formatCode="###\ ###\ ###\ ###\ ##0">
                  <c:v>259692.13215846021</c:v>
                </c:pt>
                <c:pt idx="4" formatCode="###\ ###\ ###\ ###\ ##0">
                  <c:v>72793.348768341835</c:v>
                </c:pt>
                <c:pt idx="5" formatCode="###\ ###\ ###\ ###\ ##0">
                  <c:v>36559.898771566666</c:v>
                </c:pt>
                <c:pt idx="6" formatCode="###\ ###\ ###\ ###\ ##0">
                  <c:v>205328.77704709404</c:v>
                </c:pt>
                <c:pt idx="7" formatCode="###\ ###\ ###\ ###\ ##0">
                  <c:v>106016</c:v>
                </c:pt>
                <c:pt idx="8" formatCode="###\ ###\ ###\ ###\ ##0">
                  <c:v>196056</c:v>
                </c:pt>
                <c:pt idx="9" formatCode="###\ ###\ ###\ ###\ ##0">
                  <c:v>163301</c:v>
                </c:pt>
                <c:pt idx="10" formatCode="###\ ###\ ###\ ###\ ##0">
                  <c:v>53684.815587175472</c:v>
                </c:pt>
                <c:pt idx="11" formatCode="###\ ###\ ###\ ###\ ##0">
                  <c:v>74132.967071550083</c:v>
                </c:pt>
                <c:pt idx="12" formatCode="###\ ###\ ###\ ###\ ##0">
                  <c:v>303108.21325123595</c:v>
                </c:pt>
                <c:pt idx="13" formatCode="###\ ###\ ###\ ###\ ##0">
                  <c:v>39135.691798155611</c:v>
                </c:pt>
                <c:pt idx="14" formatCode="###\ ###\ ###\ ###\ ##0">
                  <c:v>140782.09414082678</c:v>
                </c:pt>
                <c:pt idx="15" formatCode="###\ ###\ ###\ ###\ ##0">
                  <c:v>21076.853616384982</c:v>
                </c:pt>
                <c:pt idx="16" formatCode="###\ ###\ ###\ ###\ ##0">
                  <c:v>24899.051346381693</c:v>
                </c:pt>
                <c:pt idx="17" formatCode="###\ ###\ ###\ ###\ ##0">
                  <c:v>46672.664637967995</c:v>
                </c:pt>
                <c:pt idx="18" formatCode="###\ ###\ ###\ ###\ ##0">
                  <c:v>396150.96410148859</c:v>
                </c:pt>
                <c:pt idx="19" formatCode="###\ ###\ ###\ ###\ ##0">
                  <c:v>120153</c:v>
                </c:pt>
                <c:pt idx="20" formatCode="###\ ###\ ###\ ###\ ##0">
                  <c:v>91100.21650237967</c:v>
                </c:pt>
                <c:pt idx="21" formatCode="###\ ###\ ###\ ###\ ##0">
                  <c:v>26156.921228235184</c:v>
                </c:pt>
                <c:pt idx="22" formatCode="###\ ###\ ###\ ###\ ##0">
                  <c:v>18550.966985513955</c:v>
                </c:pt>
                <c:pt idx="23" formatCode="###\ ###\ ###\ ###\ ##0">
                  <c:v>132618.01236426999</c:v>
                </c:pt>
                <c:pt idx="24" formatCode="###\ ###\ ###\ ###\ ##0">
                  <c:v>46487.78617003929</c:v>
                </c:pt>
                <c:pt idx="25" formatCode="###\ ###\ ###\ ###\ ##0">
                  <c:v>2948.3027462559999</c:v>
                </c:pt>
                <c:pt idx="26" formatCode="###\ ###\ ###\ ###\ ##0">
                  <c:v>91594</c:v>
                </c:pt>
                <c:pt idx="27" formatCode="###\ ###\ ###\ ###\ ##0">
                  <c:v>57653.452228000002</c:v>
                </c:pt>
                <c:pt idx="28" formatCode="###\ ###\ ###\ ###\ ##0">
                  <c:v>45189</c:v>
                </c:pt>
                <c:pt idx="29" formatCode="###\ ###\ ###\ ###\ ##0">
                  <c:v>208002.87869558399</c:v>
                </c:pt>
                <c:pt idx="30" formatCode="###\ ###\ ###\ ###\ ##0">
                  <c:v>102202.22977150943</c:v>
                </c:pt>
                <c:pt idx="31" formatCode="###\ ###\ ###\ ###\ ##0">
                  <c:v>38748.401933072746</c:v>
                </c:pt>
                <c:pt idx="32" formatCode="###\ ###\ ###\ ###\ ##0">
                  <c:v>109774.20223207081</c:v>
                </c:pt>
                <c:pt idx="33" formatCode="###\ ###\ ###\ ###\ ##0">
                  <c:v>138732.74425649073</c:v>
                </c:pt>
                <c:pt idx="34" formatCode="###\ ###\ ###\ ###\ ##0">
                  <c:v>23202.732020163341</c:v>
                </c:pt>
                <c:pt idx="35">
                  <c:v>143438.99851471002</c:v>
                </c:pt>
              </c:numCache>
            </c:numRef>
          </c:val>
        </c:ser>
        <c:ser>
          <c:idx val="2"/>
          <c:order val="1"/>
          <c:tx>
            <c:strRef>
              <c:f>'Summary - 2013'!$H$6</c:f>
              <c:strCache>
                <c:ptCount val="1"/>
                <c:pt idx="0">
                  <c:v>Intra-financial system liabilities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- 2013'!$H$7:$H$42</c:f>
              <c:numCache>
                <c:formatCode>###\ ###\ ##0</c:formatCode>
                <c:ptCount val="36"/>
                <c:pt idx="0">
                  <c:v>44558.413326000002</c:v>
                </c:pt>
                <c:pt idx="1">
                  <c:v>37948.175392129997</c:v>
                </c:pt>
                <c:pt idx="2">
                  <c:v>17026.074000000001</c:v>
                </c:pt>
                <c:pt idx="3" formatCode="###\ ###\ ###\ ###\ ##0">
                  <c:v>162232.76437657161</c:v>
                </c:pt>
                <c:pt idx="4" formatCode="###\ ###\ ###\ ###\ ##0">
                  <c:v>108240.19402811196</c:v>
                </c:pt>
                <c:pt idx="5" formatCode="###\ ###\ ###\ ###\ ##0">
                  <c:v>47165.522316194772</c:v>
                </c:pt>
                <c:pt idx="6" formatCode="###\ ###\ ###\ ###\ ##0">
                  <c:v>435011.48256100493</c:v>
                </c:pt>
                <c:pt idx="7" formatCode="###\ ###\ ###\ ###\ ##0">
                  <c:v>161284</c:v>
                </c:pt>
                <c:pt idx="8" formatCode="###\ ###\ ###\ ###\ ##0">
                  <c:v>198439</c:v>
                </c:pt>
                <c:pt idx="9" formatCode="###\ ###\ ###\ ###\ ##0">
                  <c:v>286461.48778469954</c:v>
                </c:pt>
                <c:pt idx="10" formatCode="###\ ###\ ###\ ###\ ##0">
                  <c:v>45729.347452645066</c:v>
                </c:pt>
                <c:pt idx="11" formatCode="###\ ###\ ###\ ###\ ##0">
                  <c:v>16520.022009668595</c:v>
                </c:pt>
                <c:pt idx="12" formatCode="###\ ###\ ###\ ###\ ##0">
                  <c:v>249661.90138168604</c:v>
                </c:pt>
                <c:pt idx="13" formatCode="###\ ###\ ###\ ###\ ##0">
                  <c:v>23018.287850819728</c:v>
                </c:pt>
                <c:pt idx="14" formatCode="###\ ###\ ###\ ###\ ##0">
                  <c:v>123554.42801095558</c:v>
                </c:pt>
                <c:pt idx="15" formatCode="###\ ###\ ###\ ###\ ##0">
                  <c:v>23856.930433701578</c:v>
                </c:pt>
                <c:pt idx="16" formatCode="###\ ###\ ###\ ###\ ##0">
                  <c:v>30298.211914833872</c:v>
                </c:pt>
                <c:pt idx="17" formatCode="###\ ###\ ###\ ###\ ##0">
                  <c:v>82525.325754220001</c:v>
                </c:pt>
                <c:pt idx="18" formatCode="###\ ###\ ###\ ###\ ##0">
                  <c:v>351346.20245102601</c:v>
                </c:pt>
                <c:pt idx="19" formatCode="###\ ###\ ###\ ###\ ##0">
                  <c:v>112744</c:v>
                </c:pt>
                <c:pt idx="20" formatCode="###\ ###\ ###\ ###\ ##0">
                  <c:v>52929.119468812773</c:v>
                </c:pt>
                <c:pt idx="21" formatCode="###\ ###\ ###\ ###\ ##0">
                  <c:v>34568.216102561419</c:v>
                </c:pt>
                <c:pt idx="22" formatCode="###\ ###\ ###\ ###\ ##0">
                  <c:v>21009.781394594957</c:v>
                </c:pt>
                <c:pt idx="23" formatCode="###\ ###\ ###\ ###\ ##0">
                  <c:v>125891.151492</c:v>
                </c:pt>
                <c:pt idx="24" formatCode="###\ ###\ ###\ ###\ ##0">
                  <c:v>42660.66026333355</c:v>
                </c:pt>
                <c:pt idx="25" formatCode="###\ ###\ ###\ ###\ ##0">
                  <c:v>7647.8349512320001</c:v>
                </c:pt>
                <c:pt idx="26" formatCode="###\ ###\ ###\ ###\ ##0">
                  <c:v>66764</c:v>
                </c:pt>
                <c:pt idx="27" formatCode="###\ ###\ ###\ ###\ ##0">
                  <c:v>50555.728000000003</c:v>
                </c:pt>
                <c:pt idx="28" formatCode="###\ ###\ ###\ ###\ ##0">
                  <c:v>44298</c:v>
                </c:pt>
                <c:pt idx="29" formatCode="###\ ###\ ###\ ###\ ##0">
                  <c:v>199022.43009459999</c:v>
                </c:pt>
                <c:pt idx="30" formatCode="###\ ###\ ###\ ###\ ##0">
                  <c:v>128858.697</c:v>
                </c:pt>
                <c:pt idx="31" formatCode="###\ ###\ ###\ ###\ ##0">
                  <c:v>47734.808126290118</c:v>
                </c:pt>
                <c:pt idx="32" formatCode="###\ ###\ ###\ ###\ ##0">
                  <c:v>199270.2869361396</c:v>
                </c:pt>
                <c:pt idx="33" formatCode="###\ ###\ ###\ ###\ ##0">
                  <c:v>87292.0008025555</c:v>
                </c:pt>
                <c:pt idx="34" formatCode="###\ ###\ ###\ ###\ ##0">
                  <c:v>18355.597577633223</c:v>
                </c:pt>
                <c:pt idx="35">
                  <c:v>106319.15267708609</c:v>
                </c:pt>
              </c:numCache>
            </c:numRef>
          </c:val>
        </c:ser>
        <c:ser>
          <c:idx val="3"/>
          <c:order val="2"/>
          <c:tx>
            <c:strRef>
              <c:f>'Summary - 2013'!$I$6</c:f>
              <c:strCache>
                <c:ptCount val="1"/>
                <c:pt idx="0">
                  <c:v>Securities outstanding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- 2013'!$I$7:$I$42</c:f>
              <c:numCache>
                <c:formatCode>###\ ###\ ##0</c:formatCode>
                <c:ptCount val="36"/>
                <c:pt idx="0">
                  <c:v>84892</c:v>
                </c:pt>
                <c:pt idx="1">
                  <c:v>47116.872058269997</c:v>
                </c:pt>
                <c:pt idx="2">
                  <c:v>10171.342000000001</c:v>
                </c:pt>
                <c:pt idx="3" formatCode="###\ ###\ ###\ ###\ ##0">
                  <c:v>243855.46774988642</c:v>
                </c:pt>
                <c:pt idx="4" formatCode="###\ ###\ ###\ ###\ ##0">
                  <c:v>78342.672928332875</c:v>
                </c:pt>
                <c:pt idx="5" formatCode="###\ ###\ ###\ ###\ ##0">
                  <c:v>146605.25260437006</c:v>
                </c:pt>
                <c:pt idx="6" formatCode="###\ ###\ ###\ ###\ ##0">
                  <c:v>313862.014043</c:v>
                </c:pt>
                <c:pt idx="7" formatCode="###\ ###\ ###\ ###\ ##0">
                  <c:v>261906</c:v>
                </c:pt>
                <c:pt idx="8" formatCode="###\ ###\ ###\ ###\ ##0">
                  <c:v>96284</c:v>
                </c:pt>
                <c:pt idx="9" formatCode="###\ ###\ ###\ ###\ ##0">
                  <c:v>250135</c:v>
                </c:pt>
                <c:pt idx="10" formatCode="###\ ###\ ###\ ###\ ##0">
                  <c:v>136575.71214132893</c:v>
                </c:pt>
                <c:pt idx="11" formatCode="###\ ###\ ###\ ###\ ##0">
                  <c:v>154333.38826670908</c:v>
                </c:pt>
                <c:pt idx="12" formatCode="###\ ###\ ###\ ###\ ##0">
                  <c:v>198552.2475152</c:v>
                </c:pt>
                <c:pt idx="13" formatCode="###\ ###\ ###\ ###\ ##0">
                  <c:v>106936.47828103631</c:v>
                </c:pt>
                <c:pt idx="14" formatCode="###\ ###\ ###\ ###\ ##0">
                  <c:v>61761.766000000003</c:v>
                </c:pt>
                <c:pt idx="15" formatCode="###\ ###\ ###\ ###\ ##0">
                  <c:v>43739.284774350002</c:v>
                </c:pt>
                <c:pt idx="16" formatCode="###\ ###\ ###\ ###\ ##0">
                  <c:v>154338.43311351762</c:v>
                </c:pt>
                <c:pt idx="17" formatCode="###\ ###\ ###\ ###\ ##0">
                  <c:v>54761.68896105</c:v>
                </c:pt>
                <c:pt idx="18" formatCode="###\ ###\ ###\ ###\ ##0">
                  <c:v>313259.66521951143</c:v>
                </c:pt>
                <c:pt idx="19" formatCode="###\ ###\ ###\ ###\ ##0">
                  <c:v>136282</c:v>
                </c:pt>
                <c:pt idx="20" formatCode="###\ ###\ ###\ ###\ ##0">
                  <c:v>173891.97015196012</c:v>
                </c:pt>
                <c:pt idx="21" formatCode="###\ ###\ ###\ ###\ ##0">
                  <c:v>28957</c:v>
                </c:pt>
                <c:pt idx="22" formatCode="###\ ###\ ###\ ###\ ##0">
                  <c:v>82359.205945693</c:v>
                </c:pt>
                <c:pt idx="23" formatCode="###\ ###\ ###\ ###\ ##0">
                  <c:v>57214.709179080004</c:v>
                </c:pt>
                <c:pt idx="24" formatCode="###\ ###\ ###\ ###\ ##0">
                  <c:v>210758.066412488</c:v>
                </c:pt>
                <c:pt idx="25" formatCode="###\ ###\ ###\ ###\ ##0">
                  <c:v>37491.903555623998</c:v>
                </c:pt>
                <c:pt idx="26" formatCode="###\ ###\ ###\ ###\ ##0">
                  <c:v>234109</c:v>
                </c:pt>
                <c:pt idx="27" formatCode="###\ ###\ ###\ ###\ ##0">
                  <c:v>75994.701000000001</c:v>
                </c:pt>
                <c:pt idx="28" formatCode="###\ ###\ ###\ ###\ ##0">
                  <c:v>206914</c:v>
                </c:pt>
                <c:pt idx="29" formatCode="###\ ###\ ###\ ###\ ##0">
                  <c:v>140782.05586984</c:v>
                </c:pt>
                <c:pt idx="30" formatCode="###\ ###\ ###\ ###\ ##0">
                  <c:v>275850.44789999997</c:v>
                </c:pt>
                <c:pt idx="31" formatCode="###\ ###\ ###\ ###\ ##0">
                  <c:v>104141.74561726932</c:v>
                </c:pt>
                <c:pt idx="32" formatCode="###\ ###\ ###\ ###\ ##0">
                  <c:v>220094.46593405452</c:v>
                </c:pt>
                <c:pt idx="33" formatCode="###\ ###\ ###\ ###\ ##0">
                  <c:v>90505.5470505798</c:v>
                </c:pt>
                <c:pt idx="34" formatCode="###\ ###\ ###\ ###\ ##0">
                  <c:v>84953.317005785037</c:v>
                </c:pt>
                <c:pt idx="35">
                  <c:v>195001.283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58304"/>
        <c:axId val="117904128"/>
      </c:barChart>
      <c:catAx>
        <c:axId val="11785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/>
          <a:lstStyle/>
          <a:p>
            <a:pPr>
              <a:defRPr sz="800"/>
            </a:pPr>
            <a:endParaRPr lang="en-US"/>
          </a:p>
        </c:txPr>
        <c:crossAx val="117904128"/>
        <c:crosses val="autoZero"/>
        <c:auto val="1"/>
        <c:lblAlgn val="ctr"/>
        <c:lblOffset val="100"/>
        <c:noMultiLvlLbl val="0"/>
      </c:catAx>
      <c:valAx>
        <c:axId val="117904128"/>
        <c:scaling>
          <c:orientation val="minMax"/>
          <c:max val="450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17858304"/>
        <c:crosses val="autoZero"/>
        <c:crossBetween val="between"/>
        <c:majorUnit val="75000"/>
        <c:dispUnits>
          <c:builtInUnit val="thousands"/>
          <c:dispUnitsLbl>
            <c:layout>
              <c:manualLayout>
                <c:xMode val="edge"/>
                <c:yMode val="edge"/>
                <c:x val="2.5029572649572649E-2"/>
                <c:y val="1.5285185185185185E-2"/>
              </c:manualLayout>
            </c:layout>
            <c:tx>
              <c:rich>
                <a:bodyPr rot="0" vert="horz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000" b="1" i="0" baseline="0">
                      <a:effectLst/>
                    </a:rPr>
                    <a:t>10^9</a:t>
                  </a:r>
                  <a:endParaRPr lang="en-GB" sz="400">
                    <a:effectLst/>
                  </a:endParaRPr>
                </a:p>
              </c:rich>
            </c:tx>
          </c:dispUnitsLbl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534786324786322E-2"/>
          <c:y val="0.10131080246913581"/>
          <c:w val="0.92508982905982906"/>
          <c:h val="0.6250851851851851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'Summary - 2013'!$N$6</c:f>
              <c:strCache>
                <c:ptCount val="1"/>
                <c:pt idx="0">
                  <c:v>Trading and AFS securities</c:v>
                </c:pt>
              </c:strCache>
            </c:strRef>
          </c:tx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- 2013'!$N$7:$N$42</c:f>
              <c:numCache>
                <c:formatCode>###\ ###\ ##0</c:formatCode>
                <c:ptCount val="36"/>
                <c:pt idx="0">
                  <c:v>1125</c:v>
                </c:pt>
                <c:pt idx="1">
                  <c:v>690.11800000000005</c:v>
                </c:pt>
                <c:pt idx="2">
                  <c:v>7736.0259999999998</c:v>
                </c:pt>
                <c:pt idx="3" formatCode="###\ ###\ ###\ ###\ ##0">
                  <c:v>157026.508307816</c:v>
                </c:pt>
                <c:pt idx="4" formatCode="###\ ###\ ###\ ###\ ##0">
                  <c:v>3941.3870000000002</c:v>
                </c:pt>
                <c:pt idx="5" formatCode="###\ ###\ ###\ ###\ ##0">
                  <c:v>32632.698039418145</c:v>
                </c:pt>
                <c:pt idx="6" formatCode="###\ ###\ ###\ ###\ ##0">
                  <c:v>185202.85773930623</c:v>
                </c:pt>
                <c:pt idx="7" formatCode="###\ ###\ ###\ ###\ ##0">
                  <c:v>6329</c:v>
                </c:pt>
                <c:pt idx="8" formatCode="###\ ###\ ###\ ###\ ##0">
                  <c:v>48706</c:v>
                </c:pt>
                <c:pt idx="9" formatCode="###\ ###\ ###\ ###\ ##0">
                  <c:v>62091</c:v>
                </c:pt>
                <c:pt idx="10" formatCode="###\ ###\ ###\ ###\ ##0">
                  <c:v>26867.194998852847</c:v>
                </c:pt>
                <c:pt idx="11" formatCode="###\ ###\ ###\ ###\ ##0">
                  <c:v>5332.5379133489996</c:v>
                </c:pt>
                <c:pt idx="12" formatCode="###\ ###\ ###\ ###\ ##0">
                  <c:v>130131.50194777998</c:v>
                </c:pt>
                <c:pt idx="13" formatCode="###\ ###\ ###\ ###\ ##0">
                  <c:v>1766.8684319015363</c:v>
                </c:pt>
                <c:pt idx="14" formatCode="###\ ###\ ###\ ###\ ##0">
                  <c:v>19369.70681619101</c:v>
                </c:pt>
                <c:pt idx="15" formatCode="###\ ###\ ###\ ###\ ##0">
                  <c:v>10311.244741449998</c:v>
                </c:pt>
                <c:pt idx="16" formatCode="###\ ###\ ###\ ###\ ##0">
                  <c:v>6172.5435006287498</c:v>
                </c:pt>
                <c:pt idx="17" formatCode="###\ ###\ ###\ ###\ ##0">
                  <c:v>21445.895414510003</c:v>
                </c:pt>
                <c:pt idx="18" formatCode="###\ ###\ ###\ ###\ ##0">
                  <c:v>186014.79216260699</c:v>
                </c:pt>
                <c:pt idx="19" formatCode="###\ ###\ ###\ ###\ ##0">
                  <c:v>34469</c:v>
                </c:pt>
                <c:pt idx="20" formatCode="###\ ###\ ###\ ###\ ##0">
                  <c:v>19469.662976334497</c:v>
                </c:pt>
                <c:pt idx="21" formatCode="###\ ###\ ###\ ###\ ##0">
                  <c:v>3771</c:v>
                </c:pt>
                <c:pt idx="22" formatCode="###\ ###\ ###\ ###\ ##0">
                  <c:v>4654.7399186463617</c:v>
                </c:pt>
                <c:pt idx="23" formatCode="###\ ###\ ###\ ###\ ##0">
                  <c:v>26640.922036894004</c:v>
                </c:pt>
                <c:pt idx="24" formatCode="###\ ###\ ###\ ###\ ##0">
                  <c:v>11441.765621048</c:v>
                </c:pt>
                <c:pt idx="25" formatCode="###\ ###\ ###\ ###\ ##0">
                  <c:v>3418.4958612</c:v>
                </c:pt>
                <c:pt idx="26" formatCode="###\ ###\ ###\ ###\ ##0">
                  <c:v>8533</c:v>
                </c:pt>
                <c:pt idx="27" formatCode="###\ ###\ ###\ ###\ ##0">
                  <c:v>21668.655999999999</c:v>
                </c:pt>
                <c:pt idx="28" formatCode="###\ ###\ ###\ ###\ ##0">
                  <c:v>1521</c:v>
                </c:pt>
                <c:pt idx="29" formatCode="###\ ###\ ###\ ###\ ##0">
                  <c:v>38064.051810288001</c:v>
                </c:pt>
                <c:pt idx="30" formatCode="###\ ###\ ###\ ###\ ##0">
                  <c:v>26710.493385524998</c:v>
                </c:pt>
                <c:pt idx="31" formatCode="###\ ###\ ###\ ###\ ##0">
                  <c:v>21240.344523957374</c:v>
                </c:pt>
                <c:pt idx="32" formatCode="###\ ###\ ###\ ###\ ##0">
                  <c:v>122708.93119838923</c:v>
                </c:pt>
                <c:pt idx="33" formatCode="###\ ###\ ###\ ###\ ##0">
                  <c:v>48551.229038102996</c:v>
                </c:pt>
                <c:pt idx="34" formatCode="###\ ###\ ###\ ###\ ##0">
                  <c:v>4362.0981681187113</c:v>
                </c:pt>
                <c:pt idx="35">
                  <c:v>5254.7049999999999</c:v>
                </c:pt>
              </c:numCache>
            </c:numRef>
          </c:val>
        </c:ser>
        <c:ser>
          <c:idx val="3"/>
          <c:order val="2"/>
          <c:tx>
            <c:strRef>
              <c:f>'Summary - 2013'!$O$6</c:f>
              <c:strCache>
                <c:ptCount val="1"/>
                <c:pt idx="0">
                  <c:v>Level 3 assets</c:v>
                </c:pt>
              </c:strCache>
            </c:strRef>
          </c:tx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- 2013'!$O$7:$O$42</c:f>
              <c:numCache>
                <c:formatCode>###\ ###\ ##0</c:formatCode>
                <c:ptCount val="36"/>
                <c:pt idx="0">
                  <c:v>1321</c:v>
                </c:pt>
                <c:pt idx="1">
                  <c:v>690.60599999999999</c:v>
                </c:pt>
                <c:pt idx="2">
                  <c:v>126.63200000000001</c:v>
                </c:pt>
                <c:pt idx="3" formatCode="###\ ###\ ###\ ###\ ##0">
                  <c:v>39479.758054621394</c:v>
                </c:pt>
                <c:pt idx="4" formatCode="###\ ###\ ###\ ###\ ##0">
                  <c:v>4478</c:v>
                </c:pt>
                <c:pt idx="5" formatCode="###\ ###\ ###\ ###\ ##0">
                  <c:v>887.39</c:v>
                </c:pt>
                <c:pt idx="6" formatCode="###\ ###\ ###\ ###\ ##0">
                  <c:v>20589.658828881795</c:v>
                </c:pt>
                <c:pt idx="7" formatCode="###\ ###\ ###\ ###\ ##0">
                  <c:v>14959</c:v>
                </c:pt>
                <c:pt idx="8" formatCode="###\ ###\ ###\ ###\ ##0">
                  <c:v>2182</c:v>
                </c:pt>
                <c:pt idx="9" formatCode="###\ ###\ ###\ ###\ ##0">
                  <c:v>7462</c:v>
                </c:pt>
                <c:pt idx="10" formatCode="###\ ###\ ###\ ###\ ##0">
                  <c:v>4018.5768258253988</c:v>
                </c:pt>
                <c:pt idx="11" formatCode="###\ ###\ ###\ ###\ ##0">
                  <c:v>1775.7698469019999</c:v>
                </c:pt>
                <c:pt idx="12" formatCode="###\ ###\ ###\ ###\ ##0">
                  <c:v>27383.938968800001</c:v>
                </c:pt>
                <c:pt idx="13" formatCode="###\ ###\ ###\ ###\ ##0">
                  <c:v>16024.055502618612</c:v>
                </c:pt>
                <c:pt idx="14" formatCode="###\ ###\ ###\ ###\ ##0">
                  <c:v>3120</c:v>
                </c:pt>
                <c:pt idx="15" formatCode="###\ ###\ ###\ ###\ ##0">
                  <c:v>331</c:v>
                </c:pt>
                <c:pt idx="16" formatCode="###\ ###\ ###\ ###\ ##0">
                  <c:v>146.77224503641</c:v>
                </c:pt>
                <c:pt idx="17" formatCode="###\ ###\ ###\ ###\ ##0">
                  <c:v>574.69375480999997</c:v>
                </c:pt>
                <c:pt idx="18" formatCode="###\ ###\ ###\ ###\ ##0">
                  <c:v>10712.8401463464</c:v>
                </c:pt>
                <c:pt idx="19" formatCode="###\ ###\ ###\ ###\ ##0">
                  <c:v>2601</c:v>
                </c:pt>
                <c:pt idx="20" formatCode="###\ ###\ ###\ ###\ ##0">
                  <c:v>6026</c:v>
                </c:pt>
                <c:pt idx="21" formatCode="###\ ###\ ###\ ###\ ##0">
                  <c:v>3582</c:v>
                </c:pt>
                <c:pt idx="22" formatCode="###\ ###\ ###\ ###\ ##0">
                  <c:v>1697.7059999999999</c:v>
                </c:pt>
                <c:pt idx="23" formatCode="###\ ###\ ###\ ###\ ##0">
                  <c:v>2204.18790119</c:v>
                </c:pt>
                <c:pt idx="24" formatCode="###\ ###\ ###\ ###\ ##0">
                  <c:v>9235.9361864000002</c:v>
                </c:pt>
                <c:pt idx="25" formatCode="###\ ###\ ###\ ###\ ##0">
                  <c:v>98.356723024000004</c:v>
                </c:pt>
                <c:pt idx="26" formatCode="###\ ###\ ###\ ###\ ##0">
                  <c:v>2966</c:v>
                </c:pt>
                <c:pt idx="27" formatCode="###\ ###\ ###\ ###\ ##0">
                  <c:v>414.89400000000001</c:v>
                </c:pt>
                <c:pt idx="28" formatCode="###\ ###\ ###\ ###\ ##0">
                  <c:v>2438</c:v>
                </c:pt>
                <c:pt idx="29" formatCode="###\ ###\ ###\ ###\ ##0">
                  <c:v>8109.6317605519998</c:v>
                </c:pt>
                <c:pt idx="30" formatCode="###\ ###\ ###\ ###\ ##0">
                  <c:v>1431.3810000000001</c:v>
                </c:pt>
                <c:pt idx="31" formatCode="###\ ###\ ###\ ###\ ##0">
                  <c:v>2907.1801786649999</c:v>
                </c:pt>
                <c:pt idx="32" formatCode="###\ ###\ ###\ ###\ ##0">
                  <c:v>5780.6083840000001</c:v>
                </c:pt>
                <c:pt idx="33" formatCode="###\ ###\ ###\ ###\ ##0">
                  <c:v>3236.8936246559997</c:v>
                </c:pt>
                <c:pt idx="34" formatCode="###\ ###\ ###\ ###\ ##0">
                  <c:v>21.44687377</c:v>
                </c:pt>
                <c:pt idx="35">
                  <c:v>7412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134351488"/>
        <c:axId val="218736512"/>
      </c:barChart>
      <c:barChart>
        <c:barDir val="col"/>
        <c:grouping val="clustered"/>
        <c:varyColors val="0"/>
        <c:ser>
          <c:idx val="1"/>
          <c:order val="0"/>
          <c:tx>
            <c:strRef>
              <c:f>'Summary - 2013'!$M$6</c:f>
              <c:strCache>
                <c:ptCount val="1"/>
                <c:pt idx="0">
                  <c:v>OTC derivatives (RHS)</c:v>
                </c:pt>
              </c:strCache>
            </c:strRef>
          </c:tx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- 2013'!$M$7:$M$42</c:f>
              <c:numCache>
                <c:formatCode>###\ ###\ ##0</c:formatCode>
                <c:ptCount val="36"/>
                <c:pt idx="0">
                  <c:v>947002</c:v>
                </c:pt>
                <c:pt idx="1">
                  <c:v>332319.99113214749</c:v>
                </c:pt>
                <c:pt idx="2">
                  <c:v>40567.942000000003</c:v>
                </c:pt>
                <c:pt idx="3" formatCode="###\ ###\ ###\ ###\ ##0">
                  <c:v>48244294.101830177</c:v>
                </c:pt>
                <c:pt idx="4" formatCode="###\ ###\ ###\ ###\ ##0">
                  <c:v>1425525.7312519357</c:v>
                </c:pt>
                <c:pt idx="5" formatCode="###\ ###\ ###\ ###\ ##0">
                  <c:v>1809907.2736984405</c:v>
                </c:pt>
                <c:pt idx="6" formatCode="###\ ###\ ###\ ###\ ##0">
                  <c:v>39104387</c:v>
                </c:pt>
                <c:pt idx="7" formatCode="###\ ###\ ###\ ###\ ##0">
                  <c:v>10521128</c:v>
                </c:pt>
                <c:pt idx="8" formatCode="###\ ###\ ###\ ###\ ##0">
                  <c:v>7294752</c:v>
                </c:pt>
                <c:pt idx="9" formatCode="###\ ###\ ###\ ###\ ##0">
                  <c:v>13817621</c:v>
                </c:pt>
                <c:pt idx="10" formatCode="###\ ###\ ###\ ###\ ##0">
                  <c:v>658495.66599999997</c:v>
                </c:pt>
                <c:pt idx="11" formatCode="###\ ###\ ###\ ###\ ##0">
                  <c:v>6332416.5897256145</c:v>
                </c:pt>
                <c:pt idx="12" formatCode="###\ ###\ ###\ ###\ ##0">
                  <c:v>49579006.43731755</c:v>
                </c:pt>
                <c:pt idx="13" formatCode="###\ ###\ ###\ ###\ ##0">
                  <c:v>714603.71546586941</c:v>
                </c:pt>
                <c:pt idx="14" formatCode="###\ ###\ ###\ ###\ ##0">
                  <c:v>970581.68599999999</c:v>
                </c:pt>
                <c:pt idx="15" formatCode="###\ ###\ ###\ ###\ ##0">
                  <c:v>259861</c:v>
                </c:pt>
                <c:pt idx="16" formatCode="###\ ###\ ###\ ###\ ##0">
                  <c:v>889280.55657762301</c:v>
                </c:pt>
                <c:pt idx="17" formatCode="###\ ###\ ###\ ###\ ##0">
                  <c:v>546818.28718191001</c:v>
                </c:pt>
                <c:pt idx="18" formatCode="###\ ###\ ###\ ###\ ##0">
                  <c:v>23786938.022958066</c:v>
                </c:pt>
                <c:pt idx="19" formatCode="###\ ###\ ###\ ###\ ##0">
                  <c:v>3445785</c:v>
                </c:pt>
                <c:pt idx="20" formatCode="###\ ###\ ###\ ###\ ##0">
                  <c:v>2593371.5350000001</c:v>
                </c:pt>
                <c:pt idx="21" formatCode="###\ ###\ ###\ ###\ ##0">
                  <c:v>448695.977691776</c:v>
                </c:pt>
                <c:pt idx="22" formatCode="###\ ###\ ###\ ###\ ##0">
                  <c:v>428133.07999619411</c:v>
                </c:pt>
                <c:pt idx="23" formatCode="###\ ###\ ###\ ###\ ##0">
                  <c:v>1228572.8984795304</c:v>
                </c:pt>
                <c:pt idx="24" formatCode="###\ ###\ ###\ ###\ ##0">
                  <c:v>6284904.3979959171</c:v>
                </c:pt>
                <c:pt idx="25" formatCode="###\ ###\ ###\ ###\ ##0">
                  <c:v>134820.6788768</c:v>
                </c:pt>
                <c:pt idx="26" formatCode="###\ ###\ ###\ ###\ ##0">
                  <c:v>6037650</c:v>
                </c:pt>
                <c:pt idx="27" formatCode="###\ ###\ ###\ ###\ ##0">
                  <c:v>314917.18800000002</c:v>
                </c:pt>
                <c:pt idx="28" formatCode="###\ ###\ ###\ ###\ ##0">
                  <c:v>2821127</c:v>
                </c:pt>
                <c:pt idx="29" formatCode="###\ ###\ ###\ ###\ ##0">
                  <c:v>45795869.009315714</c:v>
                </c:pt>
                <c:pt idx="30" formatCode="###\ ###\ ###\ ###\ ##0">
                  <c:v>3815072</c:v>
                </c:pt>
                <c:pt idx="31" formatCode="###\ ###\ ###\ ###\ ##0">
                  <c:v>1392197.145655635</c:v>
                </c:pt>
                <c:pt idx="32" formatCode="###\ ###\ ###\ ###\ ##0">
                  <c:v>18272869.093686</c:v>
                </c:pt>
                <c:pt idx="33" formatCode="###\ ###\ ###\ ###\ ##0">
                  <c:v>3970144.2950158538</c:v>
                </c:pt>
                <c:pt idx="34" formatCode="###\ ###\ ###\ ###\ ##0">
                  <c:v>1433273.1693765672</c:v>
                </c:pt>
                <c:pt idx="35">
                  <c:v>2704552.5159999998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8"/>
        <c:overlap val="-100"/>
        <c:axId val="218758528"/>
        <c:axId val="218755456"/>
      </c:barChart>
      <c:catAx>
        <c:axId val="134351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218736512"/>
        <c:crosses val="autoZero"/>
        <c:auto val="1"/>
        <c:lblAlgn val="ctr"/>
        <c:lblOffset val="100"/>
        <c:noMultiLvlLbl val="0"/>
      </c:catAx>
      <c:valAx>
        <c:axId val="21873651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4351488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GB"/>
                    <a:t> 10^9</a:t>
                  </a:r>
                </a:p>
              </c:rich>
            </c:tx>
          </c:dispUnitsLbl>
        </c:dispUnits>
      </c:valAx>
      <c:valAx>
        <c:axId val="218755456"/>
        <c:scaling>
          <c:orientation val="minMax"/>
          <c:max val="5000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10</a:t>
                </a:r>
                <a:r>
                  <a:rPr lang="en-GB" sz="1000" b="1" i="0" u="none" strike="noStrike" baseline="0">
                    <a:effectLst/>
                  </a:rPr>
                  <a:t>^12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392847222222222"/>
              <c:y val="1.4604166666666667E-3"/>
            </c:manualLayout>
          </c:layout>
          <c:overlay val="0"/>
        </c:title>
        <c:numFmt formatCode="###\ ###\ ##0" sourceLinked="1"/>
        <c:majorTickMark val="out"/>
        <c:minorTickMark val="none"/>
        <c:tickLblPos val="nextTo"/>
        <c:crossAx val="218758528"/>
        <c:crosses val="max"/>
        <c:crossBetween val="between"/>
        <c:majorUnit val="5000000"/>
        <c:dispUnits>
          <c:builtInUnit val="millions"/>
        </c:dispUnits>
      </c:valAx>
      <c:catAx>
        <c:axId val="218758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18755456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97292553169372E-2"/>
          <c:y val="8.4651851851851853E-2"/>
          <c:w val="0.95648094305169062"/>
          <c:h val="0.62056820987654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- 2013'!$P$6</c:f>
              <c:strCache>
                <c:ptCount val="1"/>
                <c:pt idx="0">
                  <c:v>Cross-jurisdictional claims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- 2013'!$P$7:$P$42</c:f>
              <c:numCache>
                <c:formatCode>###\ ###\ ##0</c:formatCode>
                <c:ptCount val="36"/>
                <c:pt idx="0">
                  <c:v>94970.361000000004</c:v>
                </c:pt>
                <c:pt idx="1">
                  <c:v>8804.1662390000001</c:v>
                </c:pt>
                <c:pt idx="2">
                  <c:v>557.88599999999997</c:v>
                </c:pt>
                <c:pt idx="3" formatCode="###\ ###\ ###\ ###\ ##0">
                  <c:v>701445.36391244002</c:v>
                </c:pt>
                <c:pt idx="4" formatCode="###\ ###\ ###\ ###\ ##0">
                  <c:v>70053.710999999996</c:v>
                </c:pt>
                <c:pt idx="5" formatCode="###\ ###\ ###\ ###\ ##0">
                  <c:v>260238.663</c:v>
                </c:pt>
                <c:pt idx="6" formatCode="###\ ###\ ###\ ###\ ##0">
                  <c:v>876694.95532243676</c:v>
                </c:pt>
                <c:pt idx="7" formatCode="###\ ###\ ###\ ###\ ##0">
                  <c:v>236908</c:v>
                </c:pt>
                <c:pt idx="8" formatCode="###\ ###\ ###\ ###\ ##0">
                  <c:v>260690</c:v>
                </c:pt>
                <c:pt idx="9" formatCode="###\ ###\ ###\ ###\ ##0">
                  <c:v>355550</c:v>
                </c:pt>
                <c:pt idx="10" formatCode="###\ ###\ ###\ ###\ ##0">
                  <c:v>75917.623430000007</c:v>
                </c:pt>
                <c:pt idx="11" formatCode="###\ ###\ ###\ ###\ ##0">
                  <c:v>178818.05288872748</c:v>
                </c:pt>
                <c:pt idx="12" formatCode="###\ ###\ ###\ ###\ ##0">
                  <c:v>762580.20600000001</c:v>
                </c:pt>
                <c:pt idx="13" formatCode="###\ ###\ ###\ ###\ ##0">
                  <c:v>98883.175532399997</c:v>
                </c:pt>
                <c:pt idx="14" formatCode="###\ ###\ ###\ ###\ ##0">
                  <c:v>80159.858999999997</c:v>
                </c:pt>
                <c:pt idx="15" formatCode="###\ ###\ ###\ ###\ ##0">
                  <c:v>105063.302</c:v>
                </c:pt>
                <c:pt idx="16" formatCode="###\ ###\ ###\ ###\ ##0">
                  <c:v>118384.05332091611</c:v>
                </c:pt>
                <c:pt idx="17" formatCode="###\ ###\ ###\ ###\ ##0">
                  <c:v>49946.220999999998</c:v>
                </c:pt>
                <c:pt idx="18" formatCode="###\ ###\ ###\ ###\ ##0">
                  <c:v>1109379.8883798777</c:v>
                </c:pt>
                <c:pt idx="19" formatCode="###\ ###\ ###\ ###\ ##0">
                  <c:v>469701</c:v>
                </c:pt>
                <c:pt idx="20" formatCode="###\ ###\ ###\ ###\ ##0">
                  <c:v>101155</c:v>
                </c:pt>
                <c:pt idx="21" formatCode="###\ ###\ ###\ ###\ ##0">
                  <c:v>98266</c:v>
                </c:pt>
                <c:pt idx="22" formatCode="###\ ###\ ###\ ###\ ##0">
                  <c:v>17367.192999999999</c:v>
                </c:pt>
                <c:pt idx="23" formatCode="###\ ###\ ###\ ###\ ##0">
                  <c:v>76883.712</c:v>
                </c:pt>
                <c:pt idx="24" formatCode="###\ ###\ ###\ ###\ ##0">
                  <c:v>80653.712351911992</c:v>
                </c:pt>
                <c:pt idx="25" formatCode="###\ ###\ ###\ ###\ ##0">
                  <c:v>7904.5220088799997</c:v>
                </c:pt>
                <c:pt idx="26" formatCode="###\ ###\ ###\ ###\ ##0">
                  <c:v>385793</c:v>
                </c:pt>
                <c:pt idx="27" formatCode="###\ ###\ ###\ ###\ ##0">
                  <c:v>66154.289000000004</c:v>
                </c:pt>
                <c:pt idx="28" formatCode="###\ ###\ ###\ ###\ ##0">
                  <c:v>232168</c:v>
                </c:pt>
                <c:pt idx="29" formatCode="###\ ###\ ###\ ###\ ##0">
                  <c:v>460958.37822983199</c:v>
                </c:pt>
                <c:pt idx="30" formatCode="###\ ###\ ###\ ###\ ##0">
                  <c:v>732557.54212299967</c:v>
                </c:pt>
                <c:pt idx="31" formatCode="###\ ###\ ###\ ###\ ##0">
                  <c:v>123824.71110175231</c:v>
                </c:pt>
                <c:pt idx="32" formatCode="###\ ###\ ###\ ###\ ##0">
                  <c:v>438088</c:v>
                </c:pt>
                <c:pt idx="33" formatCode="###\ ###\ ###\ ###\ ##0">
                  <c:v>396599.95629462897</c:v>
                </c:pt>
                <c:pt idx="34" formatCode="###\ ###\ ###\ ###\ ##0">
                  <c:v>32446.085003634529</c:v>
                </c:pt>
                <c:pt idx="35">
                  <c:v>433361.88494366989</c:v>
                </c:pt>
              </c:numCache>
            </c:numRef>
          </c:val>
        </c:ser>
        <c:ser>
          <c:idx val="1"/>
          <c:order val="1"/>
          <c:tx>
            <c:strRef>
              <c:f>'Summary - 2013'!$Q$6</c:f>
              <c:strCache>
                <c:ptCount val="1"/>
                <c:pt idx="0">
                  <c:v>Cross-jurisdictional liabilities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- 2013'!$Q$7:$Q$42</c:f>
              <c:numCache>
                <c:formatCode>###\ ###\ ##0</c:formatCode>
                <c:ptCount val="36"/>
                <c:pt idx="0">
                  <c:v>117309.071</c:v>
                </c:pt>
                <c:pt idx="1">
                  <c:v>23336.519476000001</c:v>
                </c:pt>
                <c:pt idx="2">
                  <c:v>557.88599999999997</c:v>
                </c:pt>
                <c:pt idx="3" formatCode="###\ ###\ ###\ ###\ ##0">
                  <c:v>583873.01608283049</c:v>
                </c:pt>
                <c:pt idx="4" formatCode="###\ ###\ ###\ ###\ ##0">
                  <c:v>20748.712</c:v>
                </c:pt>
                <c:pt idx="5" formatCode="###\ ###\ ###\ ###\ ##0">
                  <c:v>275213.94500000001</c:v>
                </c:pt>
                <c:pt idx="6" formatCode="###\ ###\ ###\ ###\ ##0">
                  <c:v>584177.37924670591</c:v>
                </c:pt>
                <c:pt idx="7" formatCode="###\ ###\ ###\ ###\ ##0">
                  <c:v>57925</c:v>
                </c:pt>
                <c:pt idx="8" formatCode="###\ ###\ ###\ ###\ ##0">
                  <c:v>133954</c:v>
                </c:pt>
                <c:pt idx="9" formatCode="###\ ###\ ###\ ###\ ##0">
                  <c:v>305124</c:v>
                </c:pt>
                <c:pt idx="10" formatCode="###\ ###\ ###\ ###\ ##0">
                  <c:v>42869.132821849191</c:v>
                </c:pt>
                <c:pt idx="11" formatCode="###\ ###\ ###\ ###\ ##0">
                  <c:v>281982.44025650178</c:v>
                </c:pt>
                <c:pt idx="12" formatCode="###\ ###\ ###\ ###\ ##0">
                  <c:v>674204.62699999998</c:v>
                </c:pt>
                <c:pt idx="13" formatCode="###\ ###\ ###\ ###\ ##0">
                  <c:v>88838.904494138711</c:v>
                </c:pt>
                <c:pt idx="14" formatCode="###\ ###\ ###\ ###\ ##0">
                  <c:v>48387.758999999998</c:v>
                </c:pt>
                <c:pt idx="15" formatCode="###\ ###\ ###\ ###\ ##0">
                  <c:v>94755.839000000007</c:v>
                </c:pt>
                <c:pt idx="16" formatCode="###\ ###\ ###\ ###\ ##0">
                  <c:v>68878.146213929518</c:v>
                </c:pt>
                <c:pt idx="17" formatCode="###\ ###\ ###\ ###\ ##0">
                  <c:v>11287.686</c:v>
                </c:pt>
                <c:pt idx="18" formatCode="###\ ###\ ###\ ###\ ##0">
                  <c:v>1238647.0713683756</c:v>
                </c:pt>
                <c:pt idx="19" formatCode="###\ ###\ ###\ ###\ ##0">
                  <c:v>456301</c:v>
                </c:pt>
                <c:pt idx="20" formatCode="###\ ###\ ###\ ###\ ##0">
                  <c:v>125619</c:v>
                </c:pt>
                <c:pt idx="21" formatCode="###\ ###\ ###\ ###\ ##0">
                  <c:v>109623</c:v>
                </c:pt>
                <c:pt idx="22" formatCode="###\ ###\ ###\ ###\ ##0">
                  <c:v>43.866</c:v>
                </c:pt>
                <c:pt idx="23" formatCode="###\ ###\ ###\ ###\ ##0">
                  <c:v>31478.994999999999</c:v>
                </c:pt>
                <c:pt idx="24" formatCode="###\ ###\ ###\ ###\ ##0">
                  <c:v>136637.87930828001</c:v>
                </c:pt>
                <c:pt idx="25" formatCode="###\ ###\ ###\ ###\ ##0">
                  <c:v>7903.3225366480001</c:v>
                </c:pt>
                <c:pt idx="26" formatCode="###\ ###\ ###\ ###\ ##0">
                  <c:v>312891</c:v>
                </c:pt>
                <c:pt idx="27" formatCode="###\ ###\ ###\ ###\ ##0">
                  <c:v>28385.895</c:v>
                </c:pt>
                <c:pt idx="28" formatCode="###\ ###\ ###\ ###\ ##0">
                  <c:v>73823</c:v>
                </c:pt>
                <c:pt idx="29" formatCode="###\ ###\ ###\ ###\ ##0">
                  <c:v>346654.67188139202</c:v>
                </c:pt>
                <c:pt idx="30" formatCode="###\ ###\ ###\ ###\ ##0">
                  <c:v>651697.60428600013</c:v>
                </c:pt>
                <c:pt idx="31" formatCode="###\ ###\ ###\ ###\ ##0">
                  <c:v>139191.32758651418</c:v>
                </c:pt>
                <c:pt idx="32" formatCode="###\ ###\ ###\ ###\ ##0">
                  <c:v>348589.91049861</c:v>
                </c:pt>
                <c:pt idx="33" formatCode="###\ ###\ ###\ ###\ ##0">
                  <c:v>361186.280726848</c:v>
                </c:pt>
                <c:pt idx="34" formatCode="###\ ###\ ###\ ###\ ##0">
                  <c:v>144960.29954652203</c:v>
                </c:pt>
                <c:pt idx="35">
                  <c:v>410000.17754658993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264896"/>
        <c:axId val="239266816"/>
      </c:barChart>
      <c:catAx>
        <c:axId val="239264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/>
          <a:lstStyle/>
          <a:p>
            <a:pPr>
              <a:defRPr sz="800"/>
            </a:pPr>
            <a:endParaRPr lang="en-US"/>
          </a:p>
        </c:txPr>
        <c:crossAx val="239266816"/>
        <c:crosses val="autoZero"/>
        <c:auto val="1"/>
        <c:lblAlgn val="ctr"/>
        <c:lblOffset val="100"/>
        <c:noMultiLvlLbl val="0"/>
      </c:catAx>
      <c:valAx>
        <c:axId val="239266816"/>
        <c:scaling>
          <c:orientation val="minMax"/>
          <c:max val="1300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239264896"/>
        <c:crosses val="autoZero"/>
        <c:crossBetween val="between"/>
        <c:majorUnit val="125000"/>
        <c:dispUnits>
          <c:builtInUnit val="thousands"/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97292553169372E-2"/>
          <c:y val="0.11698993055555555"/>
          <c:w val="0.92067205128205132"/>
          <c:h val="0.63166882716049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- 2013'!$K$6</c:f>
              <c:strCache>
                <c:ptCount val="1"/>
                <c:pt idx="0">
                  <c:v>Assets under custody</c:v>
                </c:pt>
              </c:strCache>
            </c:strRef>
          </c:tx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- 2013'!$K$7:$K$42</c:f>
              <c:numCache>
                <c:formatCode>###\ ###\ ##0</c:formatCode>
                <c:ptCount val="36"/>
                <c:pt idx="0">
                  <c:v>112395.912</c:v>
                </c:pt>
                <c:pt idx="1">
                  <c:v>117544.511</c:v>
                </c:pt>
                <c:pt idx="2">
                  <c:v>135100</c:v>
                </c:pt>
                <c:pt idx="3" formatCode="###\ ###\ ###\ ###\ ##0">
                  <c:v>236255.74323479238</c:v>
                </c:pt>
                <c:pt idx="4" formatCode="###\ ###\ ###\ ###\ ##0">
                  <c:v>85168.14</c:v>
                </c:pt>
                <c:pt idx="5" formatCode="###\ ###\ ###\ ###\ ##0">
                  <c:v>573882.17500000005</c:v>
                </c:pt>
                <c:pt idx="6" formatCode="###\ ###\ ###\ ###\ ##0">
                  <c:v>4181078.2609963547</c:v>
                </c:pt>
                <c:pt idx="7" formatCode="###\ ###\ ###\ ###\ ##0">
                  <c:v>80900</c:v>
                </c:pt>
                <c:pt idx="8" formatCode="###\ ###\ ###\ ###\ ##0">
                  <c:v>192435.52185709</c:v>
                </c:pt>
                <c:pt idx="9" formatCode="###\ ###\ ###\ ###\ ##0">
                  <c:v>2254000</c:v>
                </c:pt>
                <c:pt idx="10" formatCode="###\ ###\ ###\ ###\ ##0">
                  <c:v>269863</c:v>
                </c:pt>
                <c:pt idx="11" formatCode="###\ ###\ ###\ ###\ ##0">
                  <c:v>78650.141546974992</c:v>
                </c:pt>
                <c:pt idx="12" formatCode="###\ ###\ ###\ ###\ ##0">
                  <c:v>3114659.9517211849</c:v>
                </c:pt>
                <c:pt idx="13" formatCode="###\ ###\ ###\ ###\ ##0">
                  <c:v>137390.88793500001</c:v>
                </c:pt>
                <c:pt idx="14" formatCode="###\ ###\ ###\ ###\ ##0">
                  <c:v>525145.299</c:v>
                </c:pt>
                <c:pt idx="15" formatCode="###\ ###\ ###\ ###\ ##0">
                  <c:v>214340</c:v>
                </c:pt>
                <c:pt idx="16" formatCode="###\ ###\ ###\ ###\ ##0">
                  <c:v>173606.79925400001</c:v>
                </c:pt>
                <c:pt idx="17" formatCode="###\ ###\ ###\ ###\ ##0">
                  <c:v>120200</c:v>
                </c:pt>
                <c:pt idx="18" formatCode="###\ ###\ ###\ ###\ ##0">
                  <c:v>4491000.7121357583</c:v>
                </c:pt>
                <c:pt idx="19" formatCode="###\ ###\ ###\ ###\ ##0">
                  <c:v>172406</c:v>
                </c:pt>
                <c:pt idx="20" formatCode="###\ ###\ ###\ ###\ ##0">
                  <c:v>579084</c:v>
                </c:pt>
                <c:pt idx="21" formatCode="###\ ###\ ###\ ###\ ##0">
                  <c:v>210419.52000000002</c:v>
                </c:pt>
                <c:pt idx="22" formatCode="###\ ###\ ###\ ###\ ##0">
                  <c:v>107207.71434506001</c:v>
                </c:pt>
                <c:pt idx="23" formatCode="###\ ###\ ###\ ###\ ##0">
                  <c:v>220710.54218579998</c:v>
                </c:pt>
                <c:pt idx="24" formatCode="###\ ###\ ###\ ###\ ##0">
                  <c:v>12206.367055238043</c:v>
                </c:pt>
                <c:pt idx="25" formatCode="###\ ###\ ###\ ###\ ##0">
                  <c:v>0</c:v>
                </c:pt>
                <c:pt idx="26" formatCode="###\ ###\ ###\ ###\ ##0">
                  <c:v>627942</c:v>
                </c:pt>
                <c:pt idx="27" formatCode="###\ ###\ ###\ ###\ ##0">
                  <c:v>61635.538999999997</c:v>
                </c:pt>
                <c:pt idx="28" formatCode="###\ ###\ ###\ ###\ ##0">
                  <c:v>8237</c:v>
                </c:pt>
                <c:pt idx="29" formatCode="###\ ###\ ###\ ###\ ##0">
                  <c:v>61517.332362583998</c:v>
                </c:pt>
                <c:pt idx="30" formatCode="###\ ###\ ###\ ###\ ##0">
                  <c:v>874230.26794899709</c:v>
                </c:pt>
                <c:pt idx="31" formatCode="###\ ###\ ###\ ###\ ##0">
                  <c:v>672528.81011399999</c:v>
                </c:pt>
                <c:pt idx="32" formatCode="###\ ###\ ###\ ###\ ##0">
                  <c:v>3545000</c:v>
                </c:pt>
                <c:pt idx="33" formatCode="###\ ###\ ###\ ###\ ##0">
                  <c:v>587922.47305757832</c:v>
                </c:pt>
                <c:pt idx="34" formatCode="###\ ###\ ###\ ###\ ##0">
                  <c:v>169762.10262620778</c:v>
                </c:pt>
                <c:pt idx="35">
                  <c:v>504908.152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6"/>
        <c:overlap val="-100"/>
        <c:axId val="267725056"/>
        <c:axId val="70406528"/>
      </c:barChart>
      <c:barChart>
        <c:barDir val="col"/>
        <c:grouping val="clustered"/>
        <c:varyColors val="0"/>
        <c:ser>
          <c:idx val="0"/>
          <c:order val="1"/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- 2013'!$R$7:$R$42</c:f>
              <c:numCache>
                <c:formatCode>General</c:formatCode>
                <c:ptCount val="36"/>
              </c:numCache>
            </c:numRef>
          </c:val>
        </c:ser>
        <c:ser>
          <c:idx val="2"/>
          <c:order val="2"/>
          <c:tx>
            <c:v>Underwriting activity (RHS)</c:v>
          </c:tx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- 2013'!$L$7:$L$42</c:f>
              <c:numCache>
                <c:formatCode>###\ ###\ ##0</c:formatCode>
                <c:ptCount val="36"/>
                <c:pt idx="0">
                  <c:v>4056.2559999999999</c:v>
                </c:pt>
                <c:pt idx="1">
                  <c:v>12437.833000000001</c:v>
                </c:pt>
                <c:pt idx="2">
                  <c:v>0</c:v>
                </c:pt>
                <c:pt idx="3" formatCode="###\ ###\ ###\ ###\ ##0">
                  <c:v>312619.73914791254</c:v>
                </c:pt>
                <c:pt idx="4" formatCode="###\ ###\ ###\ ###\ ##0">
                  <c:v>6952.9765024438457</c:v>
                </c:pt>
                <c:pt idx="5" formatCode="###\ ###\ ###\ ###\ ##0">
                  <c:v>26197.778999999999</c:v>
                </c:pt>
                <c:pt idx="6" formatCode="###\ ###\ ###\ ###\ ##0">
                  <c:v>189229.79399329654</c:v>
                </c:pt>
                <c:pt idx="7" formatCode="###\ ###\ ###\ ###\ ##0">
                  <c:v>48513</c:v>
                </c:pt>
                <c:pt idx="8" formatCode="###\ ###\ ###\ ###\ ##0">
                  <c:v>25429</c:v>
                </c:pt>
                <c:pt idx="9" formatCode="###\ ###\ ###\ ###\ ##0">
                  <c:v>65360</c:v>
                </c:pt>
                <c:pt idx="10" formatCode="###\ ###\ ###\ ###\ ##0">
                  <c:v>1120</c:v>
                </c:pt>
                <c:pt idx="11" formatCode="###\ ###\ ###\ ###\ ##0">
                  <c:v>99419.983293695972</c:v>
                </c:pt>
                <c:pt idx="12" formatCode="###\ ###\ ###\ ###\ ##0">
                  <c:v>319512</c:v>
                </c:pt>
                <c:pt idx="13" formatCode="###\ ###\ ###\ ###\ ##0">
                  <c:v>16806.189463863346</c:v>
                </c:pt>
                <c:pt idx="14" formatCode="###\ ###\ ###\ ###\ ##0">
                  <c:v>17146.5</c:v>
                </c:pt>
                <c:pt idx="15" formatCode="###\ ###\ ###\ ###\ ##0">
                  <c:v>69</c:v>
                </c:pt>
                <c:pt idx="16" formatCode="###\ ###\ ###\ ###\ ##0">
                  <c:v>35.924755225863002</c:v>
                </c:pt>
                <c:pt idx="17" formatCode="###\ ###\ ###\ ###\ ##0">
                  <c:v>8473</c:v>
                </c:pt>
                <c:pt idx="18" formatCode="###\ ###\ ###\ ###\ ##0">
                  <c:v>255861.42739821313</c:v>
                </c:pt>
                <c:pt idx="19" formatCode="###\ ###\ ###\ ###\ ##0">
                  <c:v>26770</c:v>
                </c:pt>
                <c:pt idx="20" formatCode="###\ ###\ ###\ ###\ ##0">
                  <c:v>7.3956210000000002</c:v>
                </c:pt>
                <c:pt idx="21" formatCode="###\ ###\ ###\ ###\ ##0">
                  <c:v>0</c:v>
                </c:pt>
                <c:pt idx="22" formatCode="###\ ###\ ###\ ###\ ##0">
                  <c:v>140</c:v>
                </c:pt>
                <c:pt idx="23" formatCode="###\ ###\ ###\ ###\ ##0">
                  <c:v>21621.31</c:v>
                </c:pt>
                <c:pt idx="24" formatCode="###\ ###\ ###\ ###\ ##0">
                  <c:v>12180.64051596</c:v>
                </c:pt>
                <c:pt idx="25" formatCode="###\ ###\ ###\ ###\ ##0">
                  <c:v>0</c:v>
                </c:pt>
                <c:pt idx="26" formatCode="###\ ###\ ###\ ###\ ##0">
                  <c:v>37233</c:v>
                </c:pt>
                <c:pt idx="27" formatCode="###\ ###\ ###\ ###\ ##0">
                  <c:v>9309.33</c:v>
                </c:pt>
                <c:pt idx="28" formatCode="###\ ###\ ###\ ###\ ##0">
                  <c:v>13995</c:v>
                </c:pt>
                <c:pt idx="29" formatCode="###\ ###\ ###\ ###\ ##0">
                  <c:v>115440.806024376</c:v>
                </c:pt>
                <c:pt idx="30" formatCode="###\ ###\ ###\ ###\ ##0">
                  <c:v>27431.685517187758</c:v>
                </c:pt>
                <c:pt idx="31" formatCode="###\ ###\ ###\ ###\ ##0">
                  <c:v>20149.226632975548</c:v>
                </c:pt>
                <c:pt idx="32" formatCode="###\ ###\ ###\ ###\ ##0">
                  <c:v>77258.167379000006</c:v>
                </c:pt>
                <c:pt idx="33" formatCode="###\ ###\ ###\ ###\ ##0">
                  <c:v>88362.700267519001</c:v>
                </c:pt>
                <c:pt idx="34" formatCode="###\ ###\ ###\ ###\ ##0">
                  <c:v>35.086633974587997</c:v>
                </c:pt>
                <c:pt idx="35">
                  <c:v>62564.722000000002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70414720"/>
        <c:axId val="70408448"/>
      </c:barChart>
      <c:catAx>
        <c:axId val="267725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70406528"/>
        <c:crosses val="autoZero"/>
        <c:auto val="1"/>
        <c:lblAlgn val="ctr"/>
        <c:lblOffset val="100"/>
        <c:noMultiLvlLbl val="0"/>
      </c:catAx>
      <c:valAx>
        <c:axId val="7040652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2677250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GB"/>
                    <a:t> 10^9</a:t>
                  </a:r>
                </a:p>
              </c:rich>
            </c:tx>
          </c:dispUnitsLbl>
        </c:dispUnits>
      </c:valAx>
      <c:valAx>
        <c:axId val="70408448"/>
        <c:scaling>
          <c:orientation val="minMax"/>
          <c:max val="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70414720"/>
        <c:crosses val="max"/>
        <c:crossBetween val="between"/>
        <c:majorUnit val="40000"/>
        <c:dispUnits>
          <c:builtInUnit val="thousands"/>
        </c:dispUnits>
      </c:valAx>
      <c:catAx>
        <c:axId val="70414720"/>
        <c:scaling>
          <c:orientation val="minMax"/>
        </c:scaling>
        <c:delete val="1"/>
        <c:axPos val="b"/>
        <c:majorTickMark val="out"/>
        <c:minorTickMark val="none"/>
        <c:tickLblPos val="nextTo"/>
        <c:crossAx val="70408448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982735042735037E-2"/>
          <c:y val="0.11698993055555555"/>
          <c:w val="0.95540709401709401"/>
          <c:h val="0.632924691358024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'Summary - 2013'!$J$6</c:f>
              <c:strCache>
                <c:ptCount val="1"/>
                <c:pt idx="0">
                  <c:v>Payments activity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'Summary - 2013'!$E$7:$E$42</c:f>
              <c:strCache>
                <c:ptCount val="36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Helaba</c:v>
                </c:pt>
                <c:pt idx="18">
                  <c:v>HSBC</c:v>
                </c:pt>
                <c:pt idx="19">
                  <c:v>ING</c:v>
                </c:pt>
                <c:pt idx="20">
                  <c:v>Intesa Sanpaolo</c:v>
                </c:pt>
                <c:pt idx="21">
                  <c:v>KBC</c:v>
                </c:pt>
                <c:pt idx="22">
                  <c:v>La Caixa</c:v>
                </c:pt>
                <c:pt idx="23">
                  <c:v>LBBW</c:v>
                </c:pt>
                <c:pt idx="24">
                  <c:v>Lloyds</c:v>
                </c:pt>
                <c:pt idx="25">
                  <c:v>Nationwide</c:v>
                </c:pt>
                <c:pt idx="26">
                  <c:v>Nordea</c:v>
                </c:pt>
                <c:pt idx="27">
                  <c:v>NordLB</c:v>
                </c:pt>
                <c:pt idx="28">
                  <c:v>Rabobank</c:v>
                </c:pt>
                <c:pt idx="29">
                  <c:v>RBS</c:v>
                </c:pt>
                <c:pt idx="30">
                  <c:v>Santander</c:v>
                </c:pt>
                <c:pt idx="31">
                  <c:v>SEB</c:v>
                </c:pt>
                <c:pt idx="32">
                  <c:v>Societe Generale</c:v>
                </c:pt>
                <c:pt idx="33">
                  <c:v>Standard Chartered</c:v>
                </c:pt>
                <c:pt idx="34">
                  <c:v>Swedbank</c:v>
                </c:pt>
                <c:pt idx="35">
                  <c:v>Unicredit</c:v>
                </c:pt>
              </c:strCache>
            </c:strRef>
          </c:cat>
          <c:val>
            <c:numRef>
              <c:f>'Summary - 2013'!$J$7:$J$42</c:f>
              <c:numCache>
                <c:formatCode>###\ ###\ ##0</c:formatCode>
                <c:ptCount val="36"/>
                <c:pt idx="0">
                  <c:v>574979.28140841157</c:v>
                </c:pt>
                <c:pt idx="1">
                  <c:v>784561.17113762209</c:v>
                </c:pt>
                <c:pt idx="2">
                  <c:v>442880.09</c:v>
                </c:pt>
                <c:pt idx="3" formatCode="###\ ###\ ###\ ###\ ##0">
                  <c:v>39112492.711110696</c:v>
                </c:pt>
                <c:pt idx="4" formatCode="###\ ###\ ###\ ###\ ##0">
                  <c:v>2694467.2132430645</c:v>
                </c:pt>
                <c:pt idx="5" formatCode="###\ ###\ ###\ ###\ ##0">
                  <c:v>6048306.3802728523</c:v>
                </c:pt>
                <c:pt idx="6" formatCode="###\ ###\ ###\ ###\ ##0">
                  <c:v>49556784.210087873</c:v>
                </c:pt>
                <c:pt idx="7" formatCode="###\ ###\ ###\ ###\ ##0">
                  <c:v>24395138.554522105</c:v>
                </c:pt>
                <c:pt idx="8" formatCode="###\ ###\ ###\ ###\ ##0">
                  <c:v>27556575.86131496</c:v>
                </c:pt>
                <c:pt idx="9" formatCode="###\ ###\ ###\ ###\ ##0">
                  <c:v>20175277</c:v>
                </c:pt>
                <c:pt idx="10" formatCode="###\ ###\ ###\ ###\ ##0">
                  <c:v>5347472.2594455341</c:v>
                </c:pt>
                <c:pt idx="11" formatCode="###\ ###\ ###\ ###\ ##0">
                  <c:v>290406.17210109666</c:v>
                </c:pt>
                <c:pt idx="12" formatCode="###\ ###\ ###\ ###\ ##0">
                  <c:v>164892429.8037473</c:v>
                </c:pt>
                <c:pt idx="13" formatCode="###\ ###\ ###\ ###\ ##0">
                  <c:v>13245970.683315551</c:v>
                </c:pt>
                <c:pt idx="14" formatCode="###\ ###\ ###\ ###\ ##0">
                  <c:v>4100120.248890148</c:v>
                </c:pt>
                <c:pt idx="15" formatCode="###\ ###\ ###\ ###\ ##0">
                  <c:v>5888810.952071025</c:v>
                </c:pt>
                <c:pt idx="16" formatCode="###\ ###\ ###\ ###\ ##0">
                  <c:v>12918112.16156131</c:v>
                </c:pt>
                <c:pt idx="17" formatCode="###\ ###\ ###\ ###\ ##0">
                  <c:v>2116724.6141202315</c:v>
                </c:pt>
                <c:pt idx="18" formatCode="###\ ###\ ###\ ###\ ##0">
                  <c:v>56572184.993503354</c:v>
                </c:pt>
                <c:pt idx="19" formatCode="###\ ###\ ###\ ###\ ##0">
                  <c:v>19088070.55060555</c:v>
                </c:pt>
                <c:pt idx="20" formatCode="###\ ###\ ###\ ###\ ##0">
                  <c:v>10485571.55860276</c:v>
                </c:pt>
                <c:pt idx="21" formatCode="###\ ###\ ###\ ###\ ##0">
                  <c:v>4124870.8889150168</c:v>
                </c:pt>
                <c:pt idx="22" formatCode="###\ ###\ ###\ ###\ ##0">
                  <c:v>2376029.2774501103</c:v>
                </c:pt>
                <c:pt idx="23" formatCode="###\ ###\ ###\ ###\ ##0">
                  <c:v>4615120.8438748792</c:v>
                </c:pt>
                <c:pt idx="24" formatCode="###\ ###\ ###\ ###\ ##0">
                  <c:v>32207618.697860066</c:v>
                </c:pt>
                <c:pt idx="25" formatCode="###\ ###\ ###\ ###\ ##0">
                  <c:v>1021557.7089330708</c:v>
                </c:pt>
                <c:pt idx="26" formatCode="###\ ###\ ###\ ###\ ##0">
                  <c:v>13532755.093936101</c:v>
                </c:pt>
                <c:pt idx="27" formatCode="###\ ###\ ###\ ###\ ##0">
                  <c:v>4901116.0484523475</c:v>
                </c:pt>
                <c:pt idx="28" formatCode="###\ ###\ ###\ ###\ ##0">
                  <c:v>18966425.467164461</c:v>
                </c:pt>
                <c:pt idx="29" formatCode="###\ ###\ ###\ ###\ ##0">
                  <c:v>47446896.829188056</c:v>
                </c:pt>
                <c:pt idx="30" formatCode="###\ ###\ ###\ ###\ ##0">
                  <c:v>11527072.658070989</c:v>
                </c:pt>
                <c:pt idx="31" formatCode="###\ ###\ ###\ ###\ ##0">
                  <c:v>5428709.1833614521</c:v>
                </c:pt>
                <c:pt idx="32" formatCode="###\ ###\ ###\ ###\ ##0">
                  <c:v>23531908.421071917</c:v>
                </c:pt>
                <c:pt idx="33" formatCode="###\ ###\ ###\ ###\ ##0">
                  <c:v>14221183.393390618</c:v>
                </c:pt>
                <c:pt idx="34" formatCode="###\ ###\ ###\ ###\ ##0">
                  <c:v>3043025.4850084134</c:v>
                </c:pt>
                <c:pt idx="35">
                  <c:v>6969024.1521668797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70517888"/>
        <c:axId val="70519424"/>
      </c:barChart>
      <c:catAx>
        <c:axId val="70517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70519424"/>
        <c:crosses val="autoZero"/>
        <c:auto val="1"/>
        <c:lblAlgn val="ctr"/>
        <c:lblOffset val="100"/>
        <c:noMultiLvlLbl val="0"/>
      </c:catAx>
      <c:valAx>
        <c:axId val="7051942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70517888"/>
        <c:crosses val="autoZero"/>
        <c:crossBetween val="between"/>
        <c:minorUnit val="50000"/>
        <c:dispUnits>
          <c:builtInUnit val="million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^12</a:t>
                  </a:r>
                  <a:endParaRPr lang="en-US"/>
                </a:p>
              </c:rich>
            </c:tx>
          </c:dispUnitsLbl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3" y="508007"/>
          <a:ext cx="2461260" cy="906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1599" y="558801"/>
    <xdr:ext cx="11700000" cy="3240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3134" y="4514852"/>
    <xdr:ext cx="11700000" cy="324000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86782" y="18257307"/>
    <xdr:ext cx="11700000" cy="3240000"/>
    <xdr:graphicFrame macro="">
      <xdr:nvGraphicFramePr>
        <xdr:cNvPr id="11" name="Chart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85725" y="22728769"/>
    <xdr:ext cx="11700000" cy="3240000"/>
    <xdr:graphicFrame macro="">
      <xdr:nvGraphicFramePr>
        <xdr:cNvPr id="12" name="Chart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100542" y="9037107"/>
    <xdr:ext cx="11700000" cy="3240000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137583" y="12890500"/>
    <xdr:ext cx="11700000" cy="3240000"/>
    <xdr:graphicFrame macro="">
      <xdr:nvGraphicFramePr>
        <xdr:cNvPr id="9" name="Chart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0.01339</cdr:x>
      <cdr:y>0.00327</cdr:y>
    </cdr:from>
    <cdr:to>
      <cdr:x>0.09154</cdr:x>
      <cdr:y>0.28549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632" y="10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 b="1"/>
            <a:t>10^9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0.94345</cdr:x>
      <cdr:y>0.01045</cdr:y>
    </cdr:from>
    <cdr:to>
      <cdr:x>0.99411</cdr:x>
      <cdr:y>0.08885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038389" y="33859"/>
          <a:ext cx="592722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 b="1"/>
            <a:t>10^9</a:t>
          </a:r>
          <a:endParaRPr lang="en-GB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-SII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arameters"/>
      <sheetName val="Data (2)"/>
      <sheetName val="Clean"/>
      <sheetName val="Template"/>
      <sheetName val="List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accionistaseinversores.bbva.com/TLBB/fbinir/mult/Informacion_BBVA_GSIBs_Diciembre_2013_tcm926-461857.pdf" TargetMode="External"/><Relationship Id="rId13" Type="http://schemas.openxmlformats.org/officeDocument/2006/relationships/hyperlink" Target="http://www.bpce.fr/Investisseur/Information-reglementee/Publication-reglementaire" TargetMode="External"/><Relationship Id="rId18" Type="http://schemas.openxmlformats.org/officeDocument/2006/relationships/hyperlink" Target="http://b.mps.it/go/GSIBs" TargetMode="External"/><Relationship Id="rId26" Type="http://schemas.openxmlformats.org/officeDocument/2006/relationships/hyperlink" Target="http://www.lbbw.de/en/investor_relations/finanzberichte/finanzberichte.jsp" TargetMode="External"/><Relationship Id="rId3" Type="http://schemas.openxmlformats.org/officeDocument/2006/relationships/hyperlink" Target="https://www.kbc.com/" TargetMode="External"/><Relationship Id="rId21" Type="http://schemas.openxmlformats.org/officeDocument/2006/relationships/hyperlink" Target="http://www.lloydsbankinggroup.com/Investors/financial-performance/lloyds-banking-group/" TargetMode="External"/><Relationship Id="rId7" Type="http://schemas.openxmlformats.org/officeDocument/2006/relationships/hyperlink" Target="http://www.erstegroup.com/en/Investors/RegDisclosure/G-SII" TargetMode="External"/><Relationship Id="rId12" Type="http://schemas.openxmlformats.org/officeDocument/2006/relationships/hyperlink" Target="http://media-cms.bnpparibas.com/file/60/7/disclosure_for_g-sibs_indicators_31-12-2013.32607.pdf" TargetMode="External"/><Relationship Id="rId17" Type="http://schemas.openxmlformats.org/officeDocument/2006/relationships/hyperlink" Target="http://www.societegenerale.com/sites/default/files/documents/Pilier%20III/2014/SIFIS_FR.pdf" TargetMode="External"/><Relationship Id="rId25" Type="http://schemas.openxmlformats.org/officeDocument/2006/relationships/hyperlink" Target="https://www.helaba.de/de/DieHelaba/InvestorRelations/Regulierung/BuBa" TargetMode="External"/><Relationship Id="rId2" Type="http://schemas.openxmlformats.org/officeDocument/2006/relationships/hyperlink" Target="http://www.swedbank.se/om-swedbank/investor-relations/finansiell-information-och-publikationer/riksrapporter/index.htm" TargetMode="External"/><Relationship Id="rId16" Type="http://schemas.openxmlformats.org/officeDocument/2006/relationships/hyperlink" Target="https://www.labanquepostale.fr/groupe/Investisseur.html" TargetMode="External"/><Relationship Id="rId20" Type="http://schemas.openxmlformats.org/officeDocument/2006/relationships/hyperlink" Target="http://www.hsbc.com/investor-relations/financial-and-regulatory-reports" TargetMode="External"/><Relationship Id="rId1" Type="http://schemas.openxmlformats.org/officeDocument/2006/relationships/hyperlink" Target="http://www.group.intesasanpaolo.com/scriptIsir0/si09/governance/ita_assessment_methodology.jsp" TargetMode="External"/><Relationship Id="rId6" Type="http://schemas.openxmlformats.org/officeDocument/2006/relationships/hyperlink" Target="http://www.investors.rbs.com/results-centre/archived-group-results/" TargetMode="External"/><Relationship Id="rId11" Type="http://schemas.openxmlformats.org/officeDocument/2006/relationships/hyperlink" Target="https://www.handelsbanken.se/" TargetMode="External"/><Relationship Id="rId24" Type="http://schemas.openxmlformats.org/officeDocument/2006/relationships/hyperlink" Target="https://www.db.com/ir/en/content/reports_2013.htm" TargetMode="External"/><Relationship Id="rId5" Type="http://schemas.openxmlformats.org/officeDocument/2006/relationships/hyperlink" Target="http://www.ing.com/" TargetMode="External"/><Relationship Id="rId15" Type="http://schemas.openxmlformats.org/officeDocument/2006/relationships/hyperlink" Target="https://www.creditmutuel.fr/groupecm/fr/publications/rapports-annuels.html" TargetMode="External"/><Relationship Id="rId23" Type="http://schemas.openxmlformats.org/officeDocument/2006/relationships/hyperlink" Target="https://www.commerzbank.de/media/aktionaere/fremdkapitalgeber/20140513_GSIB_Indikatoren.pdf" TargetMode="External"/><Relationship Id="rId10" Type="http://schemas.openxmlformats.org/officeDocument/2006/relationships/hyperlink" Target="https://www.dnb.no/om-oss/investor-relations/rapporter.html" TargetMode="External"/><Relationship Id="rId19" Type="http://schemas.openxmlformats.org/officeDocument/2006/relationships/hyperlink" Target="http://investors.sc.com/en/showresults.cfm?CategoryID=360" TargetMode="External"/><Relationship Id="rId4" Type="http://schemas.openxmlformats.org/officeDocument/2006/relationships/hyperlink" Target="https://www.unicreditgroup.eu/bilanci" TargetMode="External"/><Relationship Id="rId9" Type="http://schemas.openxmlformats.org/officeDocument/2006/relationships/hyperlink" Target="http://nordea.com/gsib" TargetMode="External"/><Relationship Id="rId14" Type="http://schemas.openxmlformats.org/officeDocument/2006/relationships/hyperlink" Target="http://www.credit-agricole.com/Investisseur-et-actionnaire/Communiques-de-presse" TargetMode="External"/><Relationship Id="rId22" Type="http://schemas.openxmlformats.org/officeDocument/2006/relationships/hyperlink" Target="http://www.nationwide.co.uk/about/corporate-information/results-and-accounts" TargetMode="External"/><Relationship Id="rId27" Type="http://schemas.openxmlformats.org/officeDocument/2006/relationships/hyperlink" Target="https://www.nordlb.com/fileadmin/redaktion_en/branchen/investorrelations/Systemic_Importance_Announcement_31-Dec-201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39997558519241921"/>
  </sheetPr>
  <dimension ref="A1:XFC151"/>
  <sheetViews>
    <sheetView showGridLines="0" tabSelected="1" view="pageBreakPreview" zoomScale="70" zoomScaleNormal="80" zoomScaleSheetLayoutView="70" workbookViewId="0">
      <selection activeCell="F2" sqref="F2"/>
    </sheetView>
  </sheetViews>
  <sheetFormatPr defaultColWidth="0" defaultRowHeight="15.75" zeroHeight="1" x14ac:dyDescent="0.25"/>
  <cols>
    <col min="1" max="2" width="1.7109375" style="56" customWidth="1"/>
    <col min="3" max="3" width="50.7109375" style="56" customWidth="1"/>
    <col min="4" max="4" width="40.7109375" style="56" customWidth="1"/>
    <col min="5" max="5" width="35.7109375" style="56" customWidth="1"/>
    <col min="6" max="6" width="50.7109375" style="56" customWidth="1"/>
    <col min="7" max="7" width="10.7109375" style="56" customWidth="1"/>
    <col min="8" max="9" width="1.7109375" style="56" customWidth="1"/>
    <col min="10" max="10" width="40.7109375" style="58" customWidth="1"/>
    <col min="11" max="11" width="16.7109375" style="58" customWidth="1"/>
    <col min="12" max="12" width="16.7109375" style="59" customWidth="1"/>
    <col min="13" max="15" width="1.42578125" style="60" hidden="1"/>
    <col min="16" max="16383" width="14.7109375" style="60" hidden="1"/>
    <col min="16384" max="16384" width="1.42578125" style="60" hidden="1"/>
  </cols>
  <sheetData>
    <row r="1" spans="1:12" ht="9.9499999999999993" customHeight="1" x14ac:dyDescent="0.25">
      <c r="F1" s="57" t="str">
        <f>+VLOOKUP($F$2,'aux - sample'!$A$3:$B$38,2,FALSE)</f>
        <v>NL_ABN</v>
      </c>
    </row>
    <row r="2" spans="1:12" ht="18" customHeight="1" x14ac:dyDescent="0.25">
      <c r="E2" s="61" t="s">
        <v>226</v>
      </c>
      <c r="F2" s="198" t="s">
        <v>367</v>
      </c>
    </row>
    <row r="3" spans="1:12" ht="9.9499999999999993" customHeight="1" x14ac:dyDescent="0.25"/>
    <row r="4" spans="1:12" x14ac:dyDescent="0.25">
      <c r="B4" s="62" t="s">
        <v>0</v>
      </c>
      <c r="C4" s="63"/>
      <c r="D4" s="63"/>
      <c r="E4" s="63"/>
      <c r="F4" s="63"/>
      <c r="G4" s="63"/>
      <c r="H4" s="64"/>
      <c r="I4" s="65"/>
      <c r="J4" s="66" t="s">
        <v>355</v>
      </c>
      <c r="K4" s="66" t="s">
        <v>354</v>
      </c>
      <c r="L4" s="66" t="s">
        <v>353</v>
      </c>
    </row>
    <row r="5" spans="1:12" x14ac:dyDescent="0.25">
      <c r="B5" s="67"/>
      <c r="C5" s="68"/>
      <c r="D5" s="68"/>
      <c r="E5" s="65"/>
      <c r="F5" s="65"/>
      <c r="G5" s="69"/>
      <c r="H5" s="70"/>
      <c r="I5" s="65"/>
      <c r="J5" s="71"/>
      <c r="K5" s="66"/>
      <c r="L5" s="66"/>
    </row>
    <row r="6" spans="1:12" x14ac:dyDescent="0.25">
      <c r="B6" s="67"/>
      <c r="C6" s="72" t="s">
        <v>1</v>
      </c>
      <c r="D6" s="73"/>
      <c r="E6" s="74"/>
      <c r="F6" s="75" t="s">
        <v>2</v>
      </c>
      <c r="G6" s="76"/>
      <c r="H6" s="70"/>
      <c r="I6" s="65"/>
      <c r="J6" s="71" t="s">
        <v>367</v>
      </c>
      <c r="K6" s="66" t="s">
        <v>345</v>
      </c>
      <c r="L6" s="77" t="s">
        <v>281</v>
      </c>
    </row>
    <row r="7" spans="1:12" x14ac:dyDescent="0.25">
      <c r="B7" s="67"/>
      <c r="C7" s="78" t="s">
        <v>3</v>
      </c>
      <c r="D7" s="79"/>
      <c r="E7" s="80"/>
      <c r="F7" s="81"/>
      <c r="G7" s="76"/>
      <c r="H7" s="70"/>
      <c r="I7" s="65"/>
      <c r="J7" s="71" t="s">
        <v>366</v>
      </c>
      <c r="K7" s="66" t="s">
        <v>343</v>
      </c>
      <c r="L7" s="77" t="s">
        <v>280</v>
      </c>
    </row>
    <row r="8" spans="1:12" x14ac:dyDescent="0.25">
      <c r="B8" s="67"/>
      <c r="C8" s="82" t="s">
        <v>4</v>
      </c>
      <c r="D8" s="83"/>
      <c r="E8" s="84"/>
      <c r="F8" s="85" t="str">
        <f>+VLOOKUP(F2,'aux - sample'!$A$3:$D$38,3,FALSE)</f>
        <v>NL</v>
      </c>
      <c r="G8" s="76" t="s">
        <v>6</v>
      </c>
      <c r="H8" s="70"/>
      <c r="I8" s="65"/>
      <c r="J8" s="71" t="s">
        <v>362</v>
      </c>
      <c r="K8" s="66" t="s">
        <v>340</v>
      </c>
      <c r="L8" s="77" t="s">
        <v>279</v>
      </c>
    </row>
    <row r="9" spans="1:12" x14ac:dyDescent="0.25">
      <c r="B9" s="67"/>
      <c r="C9" s="82" t="s">
        <v>7</v>
      </c>
      <c r="D9" s="83"/>
      <c r="E9" s="84"/>
      <c r="F9" s="85" t="str">
        <f>+F2</f>
        <v>ABN Amro</v>
      </c>
      <c r="G9" s="76" t="s">
        <v>8</v>
      </c>
      <c r="H9" s="70"/>
      <c r="I9" s="65"/>
      <c r="J9" s="71" t="s">
        <v>303</v>
      </c>
      <c r="K9" s="66" t="s">
        <v>349</v>
      </c>
      <c r="L9" s="77" t="s">
        <v>347</v>
      </c>
    </row>
    <row r="10" spans="1:12" x14ac:dyDescent="0.25">
      <c r="B10" s="67"/>
      <c r="C10" s="86" t="s">
        <v>11</v>
      </c>
      <c r="D10" s="87"/>
      <c r="E10" s="84"/>
      <c r="F10" s="81"/>
      <c r="G10" s="76"/>
      <c r="H10" s="70"/>
      <c r="I10" s="65"/>
      <c r="J10" s="71" t="s">
        <v>538</v>
      </c>
      <c r="K10" s="66" t="s">
        <v>530</v>
      </c>
      <c r="L10" s="77" t="s">
        <v>529</v>
      </c>
    </row>
    <row r="11" spans="1:12" x14ac:dyDescent="0.25">
      <c r="B11" s="67"/>
      <c r="C11" s="82" t="s">
        <v>12</v>
      </c>
      <c r="D11" s="83"/>
      <c r="E11" s="88"/>
      <c r="F11" s="89">
        <f>INDEX(Data!$F$4:$AZ$106,MATCH('Bank Template Tool - 2013'!G11,Data!$F$4:$F$106,0),MATCH('Bank Template Tool - 2013'!F$1,Data!$F$4:$AZ$4,0))</f>
        <v>41639</v>
      </c>
      <c r="G11" s="76" t="s">
        <v>13</v>
      </c>
      <c r="H11" s="70"/>
      <c r="I11" s="65"/>
      <c r="J11" s="71" t="s">
        <v>356</v>
      </c>
      <c r="K11" s="66" t="s">
        <v>330</v>
      </c>
      <c r="L11" s="77" t="s">
        <v>275</v>
      </c>
    </row>
    <row r="12" spans="1:12" x14ac:dyDescent="0.25">
      <c r="B12" s="67"/>
      <c r="C12" s="82" t="s">
        <v>14</v>
      </c>
      <c r="D12" s="83"/>
      <c r="E12" s="88"/>
      <c r="F12" s="89" t="str">
        <f>INDEX(Data!$F$4:$AZ$106,MATCH('Bank Template Tool - 2013'!G12,Data!$F$4:$F$106,0),MATCH('Bank Template Tool - 2013'!F$1,Data!$F$4:$AZ$4,0))</f>
        <v>EUR</v>
      </c>
      <c r="G12" s="76" t="s">
        <v>15</v>
      </c>
      <c r="H12" s="70"/>
      <c r="I12" s="65"/>
      <c r="J12" s="71" t="s">
        <v>359</v>
      </c>
      <c r="K12" s="66" t="s">
        <v>336</v>
      </c>
      <c r="L12" s="77" t="s">
        <v>279</v>
      </c>
    </row>
    <row r="13" spans="1:12" x14ac:dyDescent="0.25">
      <c r="B13" s="67"/>
      <c r="C13" s="90" t="s">
        <v>16</v>
      </c>
      <c r="D13" s="91"/>
      <c r="E13" s="92"/>
      <c r="F13" s="93">
        <f>INDEX(Data!$F$4:$AZ$106,MATCH('Bank Template Tool - 2013'!G13,Data!$F$4:$F$106,0),MATCH('Bank Template Tool - 2013'!F$1,Data!$F$4:$AZ$4,0))</f>
        <v>1</v>
      </c>
      <c r="G13" s="76" t="s">
        <v>18</v>
      </c>
      <c r="H13" s="70"/>
      <c r="I13" s="65"/>
      <c r="J13" s="71" t="s">
        <v>292</v>
      </c>
      <c r="K13" s="66" t="s">
        <v>337</v>
      </c>
      <c r="L13" s="77" t="s">
        <v>279</v>
      </c>
    </row>
    <row r="14" spans="1:12" x14ac:dyDescent="0.25">
      <c r="B14" s="67"/>
      <c r="C14" s="82" t="s">
        <v>19</v>
      </c>
      <c r="D14" s="83"/>
      <c r="E14" s="94"/>
      <c r="F14" s="95">
        <f>INDEX(Data!$F$4:$AZ$106,MATCH('Bank Template Tool - 2013'!G14,Data!$F$4:$F$106,0),MATCH('Bank Template Tool - 2013'!F$1,Data!$F$4:$AZ$4,0))</f>
        <v>1000</v>
      </c>
      <c r="G14" s="76" t="s">
        <v>20</v>
      </c>
      <c r="H14" s="70"/>
      <c r="I14" s="65"/>
      <c r="J14" s="71" t="s">
        <v>539</v>
      </c>
      <c r="K14" s="66" t="s">
        <v>531</v>
      </c>
      <c r="L14" s="77" t="s">
        <v>529</v>
      </c>
    </row>
    <row r="15" spans="1:12" x14ac:dyDescent="0.25">
      <c r="B15" s="67"/>
      <c r="C15" s="90" t="s">
        <v>21</v>
      </c>
      <c r="D15" s="91"/>
      <c r="E15" s="96"/>
      <c r="F15" s="89" t="str">
        <f>INDEX(Data!$F$4:$AZ$106,MATCH('Bank Template Tool - 2013'!G15,Data!$F$4:$F$106,0),MATCH('Bank Template Tool - 2013'!F$1,Data!$F$4:$AZ$4,0))</f>
        <v>IFRS</v>
      </c>
      <c r="G15" s="76" t="s">
        <v>22</v>
      </c>
      <c r="H15" s="70"/>
      <c r="I15" s="65"/>
      <c r="J15" s="71" t="s">
        <v>360</v>
      </c>
      <c r="K15" s="66" t="s">
        <v>338</v>
      </c>
      <c r="L15" s="77" t="s">
        <v>279</v>
      </c>
    </row>
    <row r="16" spans="1:12" s="103" customFormat="1" ht="15" customHeight="1" x14ac:dyDescent="0.25">
      <c r="A16" s="97"/>
      <c r="B16" s="98"/>
      <c r="C16" s="488" t="s">
        <v>23</v>
      </c>
      <c r="D16" s="99"/>
      <c r="E16" s="100"/>
      <c r="F16" s="55" t="str">
        <f>IF(LEN(INDEX(Data!$F$4:$AZ$106,MATCH('Bank Template Tool - 2013'!G16,Data!$F$4:$F$106,0),MATCH('Bank Template Tool - 2013'!F$1,Data!$F$4:$AZ$4,0)))&lt;255,HYPERLINK(INDEX(Data!$F$4:$AZ$106,MATCH('Bank Template Tool - 2013'!G16,Data!$F$4:$F$106,0),MATCH('Bank Template Tool - 2013'!F$1,Data!$F$4:$AZ$4,0)),INDEX(Data!$F$4:$AZ$106,MATCH('Bank Template Tool - 2013'!G16,Data!$F$4:$F$106,0),MATCH('Bank Template Tool - 2013'!F$1,Data!$F$4:$AZ$4,0))),INDEX(Data!$F$4:$AZ$106,MATCH('Bank Template Tool - 2013'!G16,Data!$F$4:$F$106,0),MATCH('Bank Template Tool - 2013'!F$1,Data!$F$4:$AZ$4,0)))</f>
        <v>Not specified</v>
      </c>
      <c r="G16" s="76" t="s">
        <v>24</v>
      </c>
      <c r="H16" s="101"/>
      <c r="I16" s="102"/>
      <c r="J16" s="71" t="s">
        <v>361</v>
      </c>
      <c r="K16" s="66" t="s">
        <v>339</v>
      </c>
      <c r="L16" s="77" t="s">
        <v>279</v>
      </c>
    </row>
    <row r="17" spans="2:12" x14ac:dyDescent="0.25">
      <c r="B17" s="67"/>
      <c r="C17" s="68"/>
      <c r="D17" s="68"/>
      <c r="E17" s="65"/>
      <c r="F17" s="65"/>
      <c r="G17" s="69"/>
      <c r="H17" s="70"/>
      <c r="I17" s="65"/>
      <c r="J17" s="71" t="s">
        <v>365</v>
      </c>
      <c r="K17" s="66" t="s">
        <v>335</v>
      </c>
      <c r="L17" s="77" t="s">
        <v>278</v>
      </c>
    </row>
    <row r="18" spans="2:12" x14ac:dyDescent="0.25">
      <c r="B18" s="62" t="s">
        <v>25</v>
      </c>
      <c r="C18" s="63"/>
      <c r="D18" s="63"/>
      <c r="E18" s="63"/>
      <c r="F18" s="63"/>
      <c r="G18" s="63"/>
      <c r="H18" s="64"/>
      <c r="I18" s="65"/>
      <c r="J18" s="71" t="s">
        <v>540</v>
      </c>
      <c r="K18" s="66" t="s">
        <v>534</v>
      </c>
      <c r="L18" s="77" t="s">
        <v>529</v>
      </c>
    </row>
    <row r="19" spans="2:12" x14ac:dyDescent="0.25">
      <c r="B19" s="67"/>
      <c r="C19" s="68"/>
      <c r="D19" s="68"/>
      <c r="E19" s="65"/>
      <c r="F19" s="65"/>
      <c r="G19" s="69"/>
      <c r="H19" s="70"/>
      <c r="I19" s="65"/>
      <c r="J19" s="71" t="s">
        <v>327</v>
      </c>
      <c r="K19" s="66" t="s">
        <v>327</v>
      </c>
      <c r="L19" s="77" t="s">
        <v>326</v>
      </c>
    </row>
    <row r="20" spans="2:12" x14ac:dyDescent="0.25">
      <c r="B20" s="67"/>
      <c r="C20" s="72" t="s">
        <v>26</v>
      </c>
      <c r="D20" s="73"/>
      <c r="E20" s="74"/>
      <c r="F20" s="104" t="s">
        <v>27</v>
      </c>
      <c r="G20" s="105"/>
      <c r="H20" s="70"/>
      <c r="I20" s="65"/>
      <c r="J20" s="71" t="s">
        <v>541</v>
      </c>
      <c r="K20" s="66" t="s">
        <v>532</v>
      </c>
      <c r="L20" s="77" t="s">
        <v>529</v>
      </c>
    </row>
    <row r="21" spans="2:12" x14ac:dyDescent="0.25">
      <c r="B21" s="106"/>
      <c r="C21" s="107" t="s">
        <v>28</v>
      </c>
      <c r="D21" s="108"/>
      <c r="E21" s="109"/>
      <c r="F21" s="110">
        <f>INDEX(Data!$F$4:$AZ$106,MATCH('Bank Template Tool - 2013'!G21,Data!$F$4:$F$106,0),MATCH('Bank Template Tool - 2013'!F$1,Data!$F$4:$AZ$4,0))</f>
        <v>8404082</v>
      </c>
      <c r="G21" s="76" t="s">
        <v>29</v>
      </c>
      <c r="H21" s="70"/>
      <c r="I21" s="65"/>
      <c r="J21" s="71" t="s">
        <v>288</v>
      </c>
      <c r="K21" s="66" t="s">
        <v>334</v>
      </c>
      <c r="L21" s="77" t="s">
        <v>276</v>
      </c>
    </row>
    <row r="22" spans="2:12" x14ac:dyDescent="0.25">
      <c r="B22" s="106"/>
      <c r="C22" s="111" t="s">
        <v>30</v>
      </c>
      <c r="D22" s="112"/>
      <c r="E22" s="109"/>
      <c r="F22" s="110">
        <f>INDEX(Data!$F$4:$AZ$106,MATCH('Bank Template Tool - 2013'!G22,Data!$F$4:$F$106,0),MATCH('Bank Template Tool - 2013'!F$1,Data!$F$4:$AZ$4,0))</f>
        <v>18379317</v>
      </c>
      <c r="G22" s="76" t="s">
        <v>31</v>
      </c>
      <c r="H22" s="70"/>
      <c r="I22" s="65"/>
      <c r="J22" s="71" t="s">
        <v>283</v>
      </c>
      <c r="K22" s="66" t="s">
        <v>328</v>
      </c>
      <c r="L22" s="77" t="s">
        <v>274</v>
      </c>
    </row>
    <row r="23" spans="2:12" x14ac:dyDescent="0.25">
      <c r="B23" s="106"/>
      <c r="C23" s="111" t="s">
        <v>32</v>
      </c>
      <c r="D23" s="112"/>
      <c r="E23" s="113"/>
      <c r="F23" s="110">
        <f>INDEX(Data!$F$4:$AZ$106,MATCH('Bank Template Tool - 2013'!G23,Data!$F$4:$F$106,0),MATCH('Bank Template Tool - 2013'!F$1,Data!$F$4:$AZ$4,0))</f>
        <v>3823257</v>
      </c>
      <c r="G23" s="76" t="s">
        <v>33</v>
      </c>
      <c r="H23" s="70"/>
      <c r="I23" s="65"/>
      <c r="J23" s="71" t="s">
        <v>542</v>
      </c>
      <c r="K23" s="66" t="s">
        <v>533</v>
      </c>
      <c r="L23" s="77" t="s">
        <v>529</v>
      </c>
    </row>
    <row r="24" spans="2:12" x14ac:dyDescent="0.25">
      <c r="B24" s="106"/>
      <c r="C24" s="111" t="s">
        <v>34</v>
      </c>
      <c r="D24" s="112"/>
      <c r="E24" s="113"/>
      <c r="F24" s="110">
        <f>INDEX(Data!$F$4:$AZ$106,MATCH('Bank Template Tool - 2013'!G24,Data!$F$4:$F$106,0),MATCH('Bank Template Tool - 2013'!F$1,Data!$F$4:$AZ$4,0))</f>
        <v>350137134</v>
      </c>
      <c r="G24" s="76" t="s">
        <v>35</v>
      </c>
      <c r="H24" s="70"/>
      <c r="I24" s="65"/>
      <c r="J24" s="71" t="s">
        <v>304</v>
      </c>
      <c r="K24" s="66" t="s">
        <v>350</v>
      </c>
      <c r="L24" s="77" t="s">
        <v>347</v>
      </c>
    </row>
    <row r="25" spans="2:12" x14ac:dyDescent="0.25">
      <c r="B25" s="114"/>
      <c r="C25" s="115" t="s">
        <v>36</v>
      </c>
      <c r="D25" s="116"/>
      <c r="E25" s="113"/>
      <c r="F25" s="110">
        <f>INDEX(Data!$F$4:$AZ$106,MATCH('Bank Template Tool - 2013'!G25,Data!$F$4:$F$106,0),MATCH('Bank Template Tool - 2013'!F$1,Data!$F$4:$AZ$4,0))</f>
        <v>0</v>
      </c>
      <c r="G25" s="76" t="s">
        <v>37</v>
      </c>
      <c r="H25" s="70"/>
      <c r="I25" s="65"/>
      <c r="J25" s="71" t="s">
        <v>301</v>
      </c>
      <c r="K25" s="66" t="s">
        <v>301</v>
      </c>
      <c r="L25" s="77" t="s">
        <v>281</v>
      </c>
    </row>
    <row r="26" spans="2:12" x14ac:dyDescent="0.25">
      <c r="B26" s="106"/>
      <c r="C26" s="117" t="s">
        <v>38</v>
      </c>
      <c r="D26" s="118"/>
      <c r="E26" s="119"/>
      <c r="F26" s="120">
        <f>INDEX(Data!$F$4:$AZ$106,MATCH('Bank Template Tool - 2013'!G26,Data!$F$4:$F$106,0),MATCH('Bank Template Tool - 2013'!F$1,Data!$F$4:$AZ$4,0))</f>
        <v>380743790</v>
      </c>
      <c r="G26" s="76" t="s">
        <v>39</v>
      </c>
      <c r="H26" s="70"/>
      <c r="I26" s="65"/>
      <c r="J26" s="71" t="s">
        <v>364</v>
      </c>
      <c r="K26" s="66" t="s">
        <v>342</v>
      </c>
      <c r="L26" s="77" t="s">
        <v>280</v>
      </c>
    </row>
    <row r="27" spans="2:12" x14ac:dyDescent="0.25">
      <c r="B27" s="106"/>
      <c r="C27" s="111" t="s">
        <v>40</v>
      </c>
      <c r="D27" s="112"/>
      <c r="E27" s="109"/>
      <c r="F27" s="121">
        <f>INDEX(Data!$F$4:$AZ$106,MATCH('Bank Template Tool - 2013'!G27,Data!$F$4:$F$106,0),MATCH('Bank Template Tool - 2013'!F$1,Data!$F$4:$AZ$4,0))</f>
        <v>3197232</v>
      </c>
      <c r="G27" s="122" t="s">
        <v>41</v>
      </c>
      <c r="H27" s="70"/>
      <c r="I27" s="65"/>
      <c r="J27" s="71" t="s">
        <v>289</v>
      </c>
      <c r="K27" s="66" t="s">
        <v>289</v>
      </c>
      <c r="L27" s="77" t="s">
        <v>277</v>
      </c>
    </row>
    <row r="28" spans="2:12" x14ac:dyDescent="0.25">
      <c r="B28" s="106"/>
      <c r="C28" s="111" t="s">
        <v>42</v>
      </c>
      <c r="D28" s="112"/>
      <c r="E28" s="109"/>
      <c r="F28" s="121">
        <f>INDEX(Data!$F$4:$AZ$106,MATCH('Bank Template Tool - 2013'!G28,Data!$F$4:$F$106,0),MATCH('Bank Template Tool - 2013'!F$1,Data!$F$4:$AZ$4,0))</f>
        <v>71656813</v>
      </c>
      <c r="G28" s="122" t="s">
        <v>43</v>
      </c>
      <c r="H28" s="70"/>
      <c r="I28" s="65"/>
      <c r="J28" s="71" t="s">
        <v>357</v>
      </c>
      <c r="K28" s="66" t="s">
        <v>331</v>
      </c>
      <c r="L28" s="77" t="s">
        <v>275</v>
      </c>
    </row>
    <row r="29" spans="2:12" x14ac:dyDescent="0.25">
      <c r="B29" s="106"/>
      <c r="C29" s="115" t="s">
        <v>44</v>
      </c>
      <c r="D29" s="116"/>
      <c r="E29" s="113"/>
      <c r="F29" s="121">
        <f>INDEX(Data!$F$4:$AZ$106,MATCH('Bank Template Tool - 2013'!G29,Data!$F$4:$F$106,0),MATCH('Bank Template Tool - 2013'!F$1,Data!$F$4:$AZ$4,0))</f>
        <v>8362829</v>
      </c>
      <c r="G29" s="122" t="s">
        <v>45</v>
      </c>
      <c r="H29" s="70"/>
      <c r="I29" s="65"/>
      <c r="J29" s="71" t="s">
        <v>543</v>
      </c>
      <c r="K29" s="66" t="s">
        <v>535</v>
      </c>
      <c r="L29" s="77" t="s">
        <v>529</v>
      </c>
    </row>
    <row r="30" spans="2:12" x14ac:dyDescent="0.25">
      <c r="B30" s="106"/>
      <c r="C30" s="115" t="s">
        <v>46</v>
      </c>
      <c r="D30" s="116"/>
      <c r="E30" s="113"/>
      <c r="F30" s="121">
        <f>INDEX(Data!$F$4:$AZ$106,MATCH('Bank Template Tool - 2013'!G30,Data!$F$4:$F$106,0),MATCH('Bank Template Tool - 2013'!F$1,Data!$F$4:$AZ$4,0))</f>
        <v>63293984</v>
      </c>
      <c r="G30" s="122" t="s">
        <v>47</v>
      </c>
      <c r="H30" s="70"/>
      <c r="I30" s="65"/>
      <c r="J30" s="71" t="s">
        <v>305</v>
      </c>
      <c r="K30" s="66" t="s">
        <v>351</v>
      </c>
      <c r="L30" s="77" t="s">
        <v>347</v>
      </c>
    </row>
    <row r="31" spans="2:12" x14ac:dyDescent="0.25">
      <c r="B31" s="106"/>
      <c r="C31" s="111" t="s">
        <v>48</v>
      </c>
      <c r="D31" s="112"/>
      <c r="E31" s="113"/>
      <c r="F31" s="121">
        <f>INDEX(Data!$F$4:$AZ$106,MATCH('Bank Template Tool - 2013'!G31,Data!$F$4:$F$106,0),MATCH('Bank Template Tool - 2013'!F$1,Data!$F$4:$AZ$4,0))</f>
        <v>3301324</v>
      </c>
      <c r="G31" s="122" t="s">
        <v>49</v>
      </c>
      <c r="H31" s="70"/>
      <c r="I31" s="65"/>
      <c r="J31" s="71" t="s">
        <v>306</v>
      </c>
      <c r="K31" s="66" t="s">
        <v>352</v>
      </c>
      <c r="L31" s="77" t="s">
        <v>347</v>
      </c>
    </row>
    <row r="32" spans="2:12" x14ac:dyDescent="0.25">
      <c r="B32" s="106"/>
      <c r="C32" s="111" t="s">
        <v>50</v>
      </c>
      <c r="D32" s="112"/>
      <c r="E32" s="113"/>
      <c r="F32" s="121">
        <f>INDEX(Data!$F$4:$AZ$106,MATCH('Bank Template Tool - 2013'!G32,Data!$F$4:$F$106,0),MATCH('Bank Template Tool - 2013'!F$1,Data!$F$4:$AZ$4,0))</f>
        <v>17189138</v>
      </c>
      <c r="G32" s="122" t="s">
        <v>51</v>
      </c>
      <c r="H32" s="70"/>
      <c r="I32" s="65"/>
      <c r="J32" s="71" t="s">
        <v>284</v>
      </c>
      <c r="K32" s="66" t="s">
        <v>329</v>
      </c>
      <c r="L32" s="77" t="s">
        <v>274</v>
      </c>
    </row>
    <row r="33" spans="2:12" x14ac:dyDescent="0.25">
      <c r="B33" s="106"/>
      <c r="C33" s="111" t="s">
        <v>52</v>
      </c>
      <c r="D33" s="112"/>
      <c r="E33" s="113"/>
      <c r="F33" s="121">
        <f>INDEX(Data!$F$4:$AZ$106,MATCH('Bank Template Tool - 2013'!G33,Data!$F$4:$F$106,0),MATCH('Bank Template Tool - 2013'!F$1,Data!$F$4:$AZ$4,0))</f>
        <v>9283721</v>
      </c>
      <c r="G33" s="122" t="s">
        <v>53</v>
      </c>
      <c r="H33" s="70"/>
      <c r="I33" s="65"/>
      <c r="J33" s="71" t="s">
        <v>537</v>
      </c>
      <c r="K33" s="66" t="s">
        <v>536</v>
      </c>
      <c r="L33" s="77" t="s">
        <v>529</v>
      </c>
    </row>
    <row r="34" spans="2:12" ht="15" customHeight="1" x14ac:dyDescent="0.25">
      <c r="B34" s="106"/>
      <c r="C34" s="111" t="s">
        <v>54</v>
      </c>
      <c r="D34" s="123"/>
      <c r="E34" s="124"/>
      <c r="F34" s="125">
        <f>INDEX(Data!$F$4:$AZ$106,MATCH('Bank Template Tool - 2013'!G34,Data!$F$4:$F$106,0),MATCH('Bank Template Tool - 2013'!F$1,Data!$F$4:$AZ$4,0))</f>
        <v>40137096.299999997</v>
      </c>
      <c r="G34" s="122" t="s">
        <v>55</v>
      </c>
      <c r="H34" s="70"/>
      <c r="I34" s="65"/>
      <c r="J34" s="71" t="s">
        <v>302</v>
      </c>
      <c r="K34" s="66" t="s">
        <v>346</v>
      </c>
      <c r="L34" s="77" t="s">
        <v>281</v>
      </c>
    </row>
    <row r="35" spans="2:12" x14ac:dyDescent="0.25">
      <c r="B35" s="114"/>
      <c r="C35" s="111" t="s">
        <v>56</v>
      </c>
      <c r="D35" s="112"/>
      <c r="E35" s="113"/>
      <c r="F35" s="126"/>
      <c r="G35" s="122"/>
      <c r="H35" s="70"/>
      <c r="I35" s="65"/>
      <c r="J35" s="71" t="s">
        <v>307</v>
      </c>
      <c r="K35" s="66" t="s">
        <v>307</v>
      </c>
      <c r="L35" s="77" t="s">
        <v>347</v>
      </c>
    </row>
    <row r="36" spans="2:12" x14ac:dyDescent="0.25">
      <c r="B36" s="114"/>
      <c r="C36" s="115" t="s">
        <v>57</v>
      </c>
      <c r="D36" s="116"/>
      <c r="E36" s="109"/>
      <c r="F36" s="121">
        <f>INDEX(Data!$F$4:$AZ$106,MATCH('Bank Template Tool - 2013'!G36,Data!$F$4:$F$106,0),MATCH('Bank Template Tool - 2013'!F$1,Data!$F$4:$AZ$4,0))</f>
        <v>0</v>
      </c>
      <c r="G36" s="122" t="s">
        <v>58</v>
      </c>
      <c r="H36" s="70"/>
      <c r="I36" s="65"/>
      <c r="J36" s="71" t="s">
        <v>358</v>
      </c>
      <c r="K36" s="66" t="s">
        <v>332</v>
      </c>
      <c r="L36" s="77" t="s">
        <v>275</v>
      </c>
    </row>
    <row r="37" spans="2:12" x14ac:dyDescent="0.25">
      <c r="B37" s="114"/>
      <c r="C37" s="115" t="s">
        <v>59</v>
      </c>
      <c r="D37" s="116"/>
      <c r="E37" s="109"/>
      <c r="F37" s="121">
        <f>INDEX(Data!$F$4:$AZ$106,MATCH('Bank Template Tool - 2013'!G37,Data!$F$4:$F$106,0),MATCH('Bank Template Tool - 2013'!F$1,Data!$F$4:$AZ$4,0))</f>
        <v>0</v>
      </c>
      <c r="G37" s="122" t="s">
        <v>60</v>
      </c>
      <c r="H37" s="70"/>
      <c r="I37" s="65"/>
      <c r="J37" s="71" t="s">
        <v>285</v>
      </c>
      <c r="K37" s="66" t="s">
        <v>285</v>
      </c>
      <c r="L37" s="77" t="s">
        <v>274</v>
      </c>
    </row>
    <row r="38" spans="2:12" x14ac:dyDescent="0.25">
      <c r="B38" s="114"/>
      <c r="C38" s="115" t="s">
        <v>61</v>
      </c>
      <c r="D38" s="116"/>
      <c r="E38" s="109"/>
      <c r="F38" s="121">
        <f>INDEX(Data!$F$4:$AZ$106,MATCH('Bank Template Tool - 2013'!G38,Data!$F$4:$F$106,0),MATCH('Bank Template Tool - 2013'!F$1,Data!$F$4:$AZ$4,0))</f>
        <v>0</v>
      </c>
      <c r="G38" s="122" t="s">
        <v>62</v>
      </c>
      <c r="H38" s="70"/>
      <c r="I38" s="65"/>
      <c r="J38" s="71" t="s">
        <v>363</v>
      </c>
      <c r="K38" s="66" t="s">
        <v>341</v>
      </c>
      <c r="L38" s="77" t="s">
        <v>279</v>
      </c>
    </row>
    <row r="39" spans="2:12" x14ac:dyDescent="0.25">
      <c r="B39" s="114"/>
      <c r="C39" s="115" t="s">
        <v>63</v>
      </c>
      <c r="D39" s="116"/>
      <c r="E39" s="109"/>
      <c r="F39" s="121">
        <f>INDEX(Data!$F$4:$AZ$106,MATCH('Bank Template Tool - 2013'!G39,Data!$F$4:$F$106,0),MATCH('Bank Template Tool - 2013'!F$1,Data!$F$4:$AZ$4,0))</f>
        <v>0</v>
      </c>
      <c r="G39" s="122" t="s">
        <v>64</v>
      </c>
      <c r="H39" s="70"/>
      <c r="I39" s="65"/>
      <c r="J39" s="71" t="s">
        <v>368</v>
      </c>
      <c r="K39" s="66" t="s">
        <v>348</v>
      </c>
      <c r="L39" s="77" t="s">
        <v>347</v>
      </c>
    </row>
    <row r="40" spans="2:12" x14ac:dyDescent="0.25">
      <c r="B40" s="114"/>
      <c r="C40" s="115" t="s">
        <v>65</v>
      </c>
      <c r="D40" s="116"/>
      <c r="E40" s="109"/>
      <c r="F40" s="121">
        <f>INDEX(Data!$F$4:$AZ$106,MATCH('Bank Template Tool - 2013'!G40,Data!$F$4:$F$106,0),MATCH('Bank Template Tool - 2013'!F$1,Data!$F$4:$AZ$4,0))</f>
        <v>0</v>
      </c>
      <c r="G40" s="122" t="s">
        <v>66</v>
      </c>
      <c r="H40" s="70"/>
      <c r="I40" s="65"/>
      <c r="J40" s="71" t="s">
        <v>287</v>
      </c>
      <c r="K40" s="66" t="s">
        <v>333</v>
      </c>
      <c r="L40" s="77" t="s">
        <v>274</v>
      </c>
    </row>
    <row r="41" spans="2:12" x14ac:dyDescent="0.25">
      <c r="B41" s="127"/>
      <c r="C41" s="111" t="s">
        <v>67</v>
      </c>
      <c r="D41" s="112"/>
      <c r="E41" s="109"/>
      <c r="F41" s="121">
        <f>INDEX(Data!$F$4:$AZ$106,MATCH('Bank Template Tool - 2013'!G41,Data!$F$4:$F$106,0),MATCH('Bank Template Tool - 2013'!F$1,Data!$F$4:$AZ$4,0))</f>
        <v>-826739</v>
      </c>
      <c r="G41" s="122" t="s">
        <v>68</v>
      </c>
      <c r="H41" s="70"/>
      <c r="I41" s="65"/>
      <c r="J41" s="71" t="s">
        <v>299</v>
      </c>
      <c r="K41" s="66" t="s">
        <v>344</v>
      </c>
      <c r="L41" s="77" t="s">
        <v>280</v>
      </c>
    </row>
    <row r="42" spans="2:12" x14ac:dyDescent="0.25">
      <c r="B42" s="128"/>
      <c r="C42" s="537" t="s">
        <v>69</v>
      </c>
      <c r="D42" s="538"/>
      <c r="E42" s="539"/>
      <c r="F42" s="129">
        <f>INDEX(Data!$F$4:$AZ$106,MATCH('Bank Template Tool - 2013'!G42,Data!$F$4:$F$106,0),MATCH('Bank Template Tool - 2013'!F$1,Data!$F$4:$AZ$4,0))</f>
        <v>421707625.30000001</v>
      </c>
      <c r="G42" s="122" t="s">
        <v>70</v>
      </c>
      <c r="H42" s="70"/>
      <c r="I42" s="65"/>
    </row>
    <row r="43" spans="2:12" x14ac:dyDescent="0.25">
      <c r="B43" s="130"/>
      <c r="C43" s="131"/>
      <c r="D43" s="131"/>
      <c r="E43" s="132"/>
      <c r="F43" s="133"/>
      <c r="G43" s="134"/>
      <c r="H43" s="135"/>
      <c r="I43" s="65"/>
    </row>
    <row r="44" spans="2:12" x14ac:dyDescent="0.25">
      <c r="B44" s="62" t="s">
        <v>71</v>
      </c>
      <c r="C44" s="63"/>
      <c r="D44" s="63"/>
      <c r="E44" s="63"/>
      <c r="F44" s="136"/>
      <c r="G44" s="63"/>
      <c r="H44" s="64"/>
      <c r="I44" s="65"/>
    </row>
    <row r="45" spans="2:12" x14ac:dyDescent="0.25">
      <c r="B45" s="137"/>
      <c r="C45" s="138"/>
      <c r="D45" s="138"/>
      <c r="E45" s="139"/>
      <c r="F45" s="140"/>
      <c r="G45" s="141"/>
      <c r="H45" s="70"/>
      <c r="I45" s="65"/>
    </row>
    <row r="46" spans="2:12" x14ac:dyDescent="0.25">
      <c r="B46" s="67"/>
      <c r="C46" s="72" t="s">
        <v>72</v>
      </c>
      <c r="D46" s="73"/>
      <c r="E46" s="74"/>
      <c r="F46" s="142" t="s">
        <v>27</v>
      </c>
      <c r="G46" s="105"/>
      <c r="H46" s="70"/>
      <c r="I46" s="65"/>
    </row>
    <row r="47" spans="2:12" x14ac:dyDescent="0.25">
      <c r="B47" s="143"/>
      <c r="C47" s="107" t="s">
        <v>73</v>
      </c>
      <c r="D47" s="144"/>
      <c r="E47" s="145"/>
      <c r="F47" s="146">
        <f>INDEX(Data!$F$4:$AZ$106,MATCH('Bank Template Tool - 2013'!G47,Data!$F$4:$F$106,0),MATCH('Bank Template Tool - 2013'!F$1,Data!$F$4:$AZ$4,0))</f>
        <v>40113732</v>
      </c>
      <c r="G47" s="76" t="s">
        <v>74</v>
      </c>
      <c r="H47" s="147"/>
      <c r="I47" s="65"/>
    </row>
    <row r="48" spans="2:12" x14ac:dyDescent="0.25">
      <c r="B48" s="143"/>
      <c r="C48" s="115" t="s">
        <v>75</v>
      </c>
      <c r="D48" s="116"/>
      <c r="E48" s="109"/>
      <c r="F48" s="146">
        <f>INDEX(Data!$F$4:$AZ$106,MATCH('Bank Template Tool - 2013'!G48,Data!$F$4:$F$106,0),MATCH('Bank Template Tool - 2013'!F$1,Data!$F$4:$AZ$4,0))</f>
        <v>122533</v>
      </c>
      <c r="G48" s="76" t="s">
        <v>76</v>
      </c>
      <c r="H48" s="147"/>
      <c r="I48" s="65"/>
    </row>
    <row r="49" spans="2:9" x14ac:dyDescent="0.25">
      <c r="B49" s="143"/>
      <c r="C49" s="111" t="s">
        <v>77</v>
      </c>
      <c r="D49" s="112"/>
      <c r="E49" s="109"/>
      <c r="F49" s="146">
        <f>INDEX(Data!$F$4:$AZ$106,MATCH('Bank Template Tool - 2013'!G49,Data!$F$4:$F$106,0),MATCH('Bank Template Tool - 2013'!F$1,Data!$F$4:$AZ$4,0))</f>
        <v>2645987</v>
      </c>
      <c r="G49" s="76" t="s">
        <v>78</v>
      </c>
      <c r="H49" s="147"/>
      <c r="I49" s="65"/>
    </row>
    <row r="50" spans="2:9" x14ac:dyDescent="0.25">
      <c r="B50" s="143"/>
      <c r="C50" s="111" t="s">
        <v>79</v>
      </c>
      <c r="D50" s="112"/>
      <c r="E50" s="109"/>
      <c r="F50" s="148"/>
      <c r="G50" s="76"/>
      <c r="H50" s="70"/>
      <c r="I50" s="65"/>
    </row>
    <row r="51" spans="2:9" x14ac:dyDescent="0.25">
      <c r="B51" s="143"/>
      <c r="C51" s="115" t="s">
        <v>80</v>
      </c>
      <c r="D51" s="116"/>
      <c r="E51" s="109"/>
      <c r="F51" s="146">
        <f>INDEX(Data!$F$4:$AZ$106,MATCH('Bank Template Tool - 2013'!G51,Data!$F$4:$F$106,0),MATCH('Bank Template Tool - 2013'!F$1,Data!$F$4:$AZ$4,0))</f>
        <v>4608869</v>
      </c>
      <c r="G51" s="76" t="s">
        <v>81</v>
      </c>
      <c r="H51" s="147"/>
      <c r="I51" s="65"/>
    </row>
    <row r="52" spans="2:9" x14ac:dyDescent="0.25">
      <c r="B52" s="143"/>
      <c r="C52" s="115" t="s">
        <v>82</v>
      </c>
      <c r="D52" s="116"/>
      <c r="E52" s="109"/>
      <c r="F52" s="146">
        <f>INDEX(Data!$F$4:$AZ$106,MATCH('Bank Template Tool - 2013'!G52,Data!$F$4:$F$106,0),MATCH('Bank Template Tool - 2013'!F$1,Data!$F$4:$AZ$4,0))</f>
        <v>432918</v>
      </c>
      <c r="G52" s="76" t="s">
        <v>83</v>
      </c>
      <c r="H52" s="147"/>
      <c r="I52" s="65"/>
    </row>
    <row r="53" spans="2:9" x14ac:dyDescent="0.25">
      <c r="B53" s="143"/>
      <c r="C53" s="115" t="s">
        <v>84</v>
      </c>
      <c r="D53" s="116"/>
      <c r="E53" s="109"/>
      <c r="F53" s="146">
        <f>INDEX(Data!$F$4:$AZ$106,MATCH('Bank Template Tool - 2013'!G53,Data!$F$4:$F$106,0),MATCH('Bank Template Tool - 2013'!F$1,Data!$F$4:$AZ$4,0))</f>
        <v>0</v>
      </c>
      <c r="G53" s="76" t="s">
        <v>85</v>
      </c>
      <c r="H53" s="147"/>
      <c r="I53" s="65"/>
    </row>
    <row r="54" spans="2:9" x14ac:dyDescent="0.25">
      <c r="B54" s="143"/>
      <c r="C54" s="115" t="s">
        <v>86</v>
      </c>
      <c r="D54" s="116"/>
      <c r="E54" s="109"/>
      <c r="F54" s="146">
        <f>INDEX(Data!$F$4:$AZ$106,MATCH('Bank Template Tool - 2013'!G54,Data!$F$4:$F$106,0),MATCH('Bank Template Tool - 2013'!F$1,Data!$F$4:$AZ$4,0))</f>
        <v>0</v>
      </c>
      <c r="G54" s="76" t="s">
        <v>87</v>
      </c>
      <c r="H54" s="147"/>
      <c r="I54" s="65"/>
    </row>
    <row r="55" spans="2:9" x14ac:dyDescent="0.25">
      <c r="B55" s="143"/>
      <c r="C55" s="115" t="s">
        <v>88</v>
      </c>
      <c r="D55" s="116"/>
      <c r="E55" s="109"/>
      <c r="F55" s="146">
        <f>INDEX(Data!$F$4:$AZ$106,MATCH('Bank Template Tool - 2013'!G55,Data!$F$4:$F$106,0),MATCH('Bank Template Tool - 2013'!F$1,Data!$F$4:$AZ$4,0))</f>
        <v>40751</v>
      </c>
      <c r="G55" s="76" t="s">
        <v>89</v>
      </c>
      <c r="H55" s="147"/>
      <c r="I55" s="65"/>
    </row>
    <row r="56" spans="2:9" x14ac:dyDescent="0.25">
      <c r="B56" s="143"/>
      <c r="C56" s="149" t="s">
        <v>90</v>
      </c>
      <c r="D56" s="150"/>
      <c r="E56" s="109"/>
      <c r="F56" s="146">
        <f>INDEX(Data!$F$4:$AZ$106,MATCH('Bank Template Tool - 2013'!G56,Data!$F$4:$F$106,0),MATCH('Bank Template Tool - 2013'!F$1,Data!$F$4:$AZ$4,0))</f>
        <v>0</v>
      </c>
      <c r="G56" s="76" t="s">
        <v>91</v>
      </c>
      <c r="H56" s="147"/>
      <c r="I56" s="65"/>
    </row>
    <row r="57" spans="2:9" x14ac:dyDescent="0.25">
      <c r="B57" s="143"/>
      <c r="C57" s="111" t="s">
        <v>92</v>
      </c>
      <c r="D57" s="112"/>
      <c r="E57" s="109"/>
      <c r="F57" s="146">
        <f>INDEX(Data!$F$4:$AZ$106,MATCH('Bank Template Tool - 2013'!G57,Data!$F$4:$F$106,0),MATCH('Bank Template Tool - 2013'!F$1,Data!$F$4:$AZ$4,0))</f>
        <v>3376816</v>
      </c>
      <c r="G57" s="76" t="s">
        <v>93</v>
      </c>
      <c r="H57" s="147"/>
      <c r="I57" s="65"/>
    </row>
    <row r="58" spans="2:9" x14ac:dyDescent="0.25">
      <c r="B58" s="143"/>
      <c r="C58" s="111" t="s">
        <v>94</v>
      </c>
      <c r="D58" s="112"/>
      <c r="E58" s="109"/>
      <c r="F58" s="148"/>
      <c r="G58" s="76"/>
      <c r="H58" s="70"/>
      <c r="I58" s="65"/>
    </row>
    <row r="59" spans="2:9" x14ac:dyDescent="0.25">
      <c r="B59" s="143"/>
      <c r="C59" s="115" t="s">
        <v>95</v>
      </c>
      <c r="D59" s="116"/>
      <c r="E59" s="109"/>
      <c r="F59" s="146">
        <f>INDEX(Data!$F$4:$AZ$106,MATCH('Bank Template Tool - 2013'!G59,Data!$F$4:$F$106,0),MATCH('Bank Template Tool - 2013'!F$1,Data!$F$4:$AZ$4,0))</f>
        <v>695897</v>
      </c>
      <c r="G59" s="76" t="s">
        <v>96</v>
      </c>
      <c r="H59" s="147"/>
      <c r="I59" s="65"/>
    </row>
    <row r="60" spans="2:9" x14ac:dyDescent="0.25">
      <c r="B60" s="143"/>
      <c r="C60" s="151" t="s">
        <v>97</v>
      </c>
      <c r="D60" s="152"/>
      <c r="E60" s="153"/>
      <c r="F60" s="146">
        <f>INDEX(Data!$F$4:$AZ$106,MATCH('Bank Template Tool - 2013'!G60,Data!$F$4:$F$106,0),MATCH('Bank Template Tool - 2013'!F$1,Data!$F$4:$AZ$4,0))</f>
        <v>1059082</v>
      </c>
      <c r="G60" s="76" t="s">
        <v>98</v>
      </c>
      <c r="H60" s="147"/>
      <c r="I60" s="65"/>
    </row>
    <row r="61" spans="2:9" x14ac:dyDescent="0.25">
      <c r="B61" s="143"/>
      <c r="C61" s="537" t="s">
        <v>99</v>
      </c>
      <c r="D61" s="538"/>
      <c r="E61" s="539"/>
      <c r="F61" s="129">
        <f>INDEX(Data!$F$4:$AZ$106,MATCH('Bank Template Tool - 2013'!G61,Data!$F$4:$F$106,0),MATCH('Bank Template Tool - 2013'!F$1,Data!$F$4:$AZ$4,0))</f>
        <v>52974052</v>
      </c>
      <c r="G61" s="76" t="s">
        <v>100</v>
      </c>
      <c r="H61" s="70"/>
      <c r="I61" s="65"/>
    </row>
    <row r="62" spans="2:9" x14ac:dyDescent="0.25">
      <c r="B62" s="137"/>
      <c r="C62" s="138"/>
      <c r="D62" s="138"/>
      <c r="E62" s="139"/>
      <c r="F62" s="140"/>
      <c r="G62" s="76"/>
      <c r="H62" s="70"/>
      <c r="I62" s="65"/>
    </row>
    <row r="63" spans="2:9" x14ac:dyDescent="0.25">
      <c r="B63" s="67"/>
      <c r="C63" s="72" t="s">
        <v>101</v>
      </c>
      <c r="D63" s="73"/>
      <c r="E63" s="74"/>
      <c r="F63" s="142" t="s">
        <v>27</v>
      </c>
      <c r="G63" s="105"/>
      <c r="H63" s="70"/>
      <c r="I63" s="65"/>
    </row>
    <row r="64" spans="2:9" x14ac:dyDescent="0.25">
      <c r="B64" s="128"/>
      <c r="C64" s="107" t="s">
        <v>102</v>
      </c>
      <c r="D64" s="144"/>
      <c r="E64" s="145"/>
      <c r="F64" s="146">
        <f>INDEX(Data!$F$4:$AZ$106,MATCH('Bank Template Tool - 2013'!G64,Data!$F$4:$F$106,0),MATCH('Bank Template Tool - 2013'!F$1,Data!$F$4:$AZ$4,0))</f>
        <v>13870814</v>
      </c>
      <c r="G64" s="76" t="s">
        <v>103</v>
      </c>
      <c r="H64" s="147"/>
      <c r="I64" s="65"/>
    </row>
    <row r="65" spans="2:9" x14ac:dyDescent="0.25">
      <c r="B65" s="128"/>
      <c r="C65" s="111" t="s">
        <v>104</v>
      </c>
      <c r="D65" s="112"/>
      <c r="E65" s="109"/>
      <c r="F65" s="146">
        <f>INDEX(Data!$F$4:$AZ$106,MATCH('Bank Template Tool - 2013'!G65,Data!$F$4:$F$106,0),MATCH('Bank Template Tool - 2013'!F$1,Data!$F$4:$AZ$4,0))</f>
        <v>17253984.326000001</v>
      </c>
      <c r="G65" s="76" t="s">
        <v>105</v>
      </c>
      <c r="H65" s="147"/>
      <c r="I65" s="65"/>
    </row>
    <row r="66" spans="2:9" x14ac:dyDescent="0.25">
      <c r="B66" s="128"/>
      <c r="C66" s="111" t="s">
        <v>106</v>
      </c>
      <c r="D66" s="112"/>
      <c r="E66" s="109"/>
      <c r="F66" s="146">
        <f>INDEX(Data!$F$4:$AZ$106,MATCH('Bank Template Tool - 2013'!G66,Data!$F$4:$F$106,0),MATCH('Bank Template Tool - 2013'!F$1,Data!$F$4:$AZ$4,0))</f>
        <v>12153</v>
      </c>
      <c r="G66" s="76" t="s">
        <v>107</v>
      </c>
      <c r="H66" s="147"/>
      <c r="I66" s="65"/>
    </row>
    <row r="67" spans="2:9" x14ac:dyDescent="0.25">
      <c r="B67" s="128"/>
      <c r="C67" s="111" t="s">
        <v>108</v>
      </c>
      <c r="D67" s="112"/>
      <c r="E67" s="109"/>
      <c r="F67" s="146">
        <f>INDEX(Data!$F$4:$AZ$106,MATCH('Bank Template Tool - 2013'!G67,Data!$F$4:$F$106,0),MATCH('Bank Template Tool - 2013'!F$1,Data!$F$4:$AZ$4,0))</f>
        <v>2068963</v>
      </c>
      <c r="G67" s="76" t="s">
        <v>109</v>
      </c>
      <c r="H67" s="147"/>
      <c r="I67" s="65"/>
    </row>
    <row r="68" spans="2:9" x14ac:dyDescent="0.25">
      <c r="B68" s="128"/>
      <c r="C68" s="111" t="s">
        <v>110</v>
      </c>
      <c r="D68" s="112"/>
      <c r="E68" s="109"/>
      <c r="F68" s="148"/>
      <c r="G68" s="76"/>
      <c r="H68" s="70"/>
      <c r="I68" s="65"/>
    </row>
    <row r="69" spans="2:9" x14ac:dyDescent="0.25">
      <c r="B69" s="128"/>
      <c r="C69" s="115" t="s">
        <v>111</v>
      </c>
      <c r="D69" s="116"/>
      <c r="E69" s="109"/>
      <c r="F69" s="146">
        <f>INDEX(Data!$F$4:$AZ$106,MATCH('Bank Template Tool - 2013'!G69,Data!$F$4:$F$106,0),MATCH('Bank Template Tool - 2013'!F$1,Data!$F$4:$AZ$4,0))</f>
        <v>8755847</v>
      </c>
      <c r="G69" s="76" t="s">
        <v>112</v>
      </c>
      <c r="H69" s="147"/>
      <c r="I69" s="65"/>
    </row>
    <row r="70" spans="2:9" x14ac:dyDescent="0.25">
      <c r="B70" s="128"/>
      <c r="C70" s="115" t="s">
        <v>97</v>
      </c>
      <c r="D70" s="116"/>
      <c r="E70" s="109"/>
      <c r="F70" s="146">
        <f>INDEX(Data!$F$4:$AZ$106,MATCH('Bank Template Tool - 2013'!G70,Data!$F$4:$F$106,0),MATCH('Bank Template Tool - 2013'!F$1,Data!$F$4:$AZ$4,0))</f>
        <v>2596652</v>
      </c>
      <c r="G70" s="76" t="s">
        <v>113</v>
      </c>
      <c r="H70" s="147"/>
      <c r="I70" s="65"/>
    </row>
    <row r="71" spans="2:9" x14ac:dyDescent="0.25">
      <c r="B71" s="128"/>
      <c r="C71" s="154" t="s">
        <v>114</v>
      </c>
      <c r="D71" s="155"/>
      <c r="E71" s="156"/>
      <c r="F71" s="129">
        <f>INDEX(Data!$F$4:$AZ$106,MATCH('Bank Template Tool - 2013'!G71,Data!$F$4:$F$106,0),MATCH('Bank Template Tool - 2013'!F$1,Data!$F$4:$AZ$4,0))</f>
        <v>44558413.326000005</v>
      </c>
      <c r="G71" s="76" t="s">
        <v>115</v>
      </c>
      <c r="H71" s="70"/>
      <c r="I71" s="65"/>
    </row>
    <row r="72" spans="2:9" x14ac:dyDescent="0.25">
      <c r="B72" s="137"/>
      <c r="C72" s="157"/>
      <c r="D72" s="157"/>
      <c r="E72" s="158"/>
      <c r="F72" s="159"/>
      <c r="G72" s="141"/>
      <c r="H72" s="147"/>
      <c r="I72" s="65"/>
    </row>
    <row r="73" spans="2:9" x14ac:dyDescent="0.25">
      <c r="B73" s="67"/>
      <c r="C73" s="72" t="s">
        <v>116</v>
      </c>
      <c r="D73" s="73"/>
      <c r="E73" s="74"/>
      <c r="F73" s="142" t="s">
        <v>27</v>
      </c>
      <c r="G73" s="105"/>
      <c r="H73" s="70"/>
      <c r="I73" s="65"/>
    </row>
    <row r="74" spans="2:9" x14ac:dyDescent="0.25">
      <c r="B74" s="128"/>
      <c r="C74" s="107" t="s">
        <v>117</v>
      </c>
      <c r="D74" s="144"/>
      <c r="E74" s="145"/>
      <c r="F74" s="146">
        <f>INDEX(Data!$F$4:$AZ$106,MATCH('Bank Template Tool - 2013'!G74,Data!$F$4:$F$106,0),MATCH('Bank Template Tool - 2013'!F$1,Data!$F$4:$AZ$4,0))</f>
        <v>27336000</v>
      </c>
      <c r="G74" s="76" t="s">
        <v>118</v>
      </c>
      <c r="H74" s="147"/>
      <c r="I74" s="65"/>
    </row>
    <row r="75" spans="2:9" x14ac:dyDescent="0.25">
      <c r="B75" s="128"/>
      <c r="C75" s="111" t="s">
        <v>119</v>
      </c>
      <c r="D75" s="112"/>
      <c r="E75" s="109"/>
      <c r="F75" s="146">
        <f>INDEX(Data!$F$4:$AZ$106,MATCH('Bank Template Tool - 2013'!G75,Data!$F$4:$F$106,0),MATCH('Bank Template Tool - 2013'!F$1,Data!$F$4:$AZ$4,0))</f>
        <v>33089000</v>
      </c>
      <c r="G75" s="76" t="s">
        <v>120</v>
      </c>
      <c r="H75" s="147"/>
      <c r="I75" s="65"/>
    </row>
    <row r="76" spans="2:9" x14ac:dyDescent="0.25">
      <c r="B76" s="128"/>
      <c r="C76" s="111" t="s">
        <v>121</v>
      </c>
      <c r="D76" s="112"/>
      <c r="E76" s="109"/>
      <c r="F76" s="146">
        <f>INDEX(Data!$F$4:$AZ$106,MATCH('Bank Template Tool - 2013'!G76,Data!$F$4:$F$106,0),MATCH('Bank Template Tool - 2013'!F$1,Data!$F$4:$AZ$4,0))</f>
        <v>7917000</v>
      </c>
      <c r="G76" s="76" t="s">
        <v>122</v>
      </c>
      <c r="H76" s="147"/>
      <c r="I76" s="65"/>
    </row>
    <row r="77" spans="2:9" x14ac:dyDescent="0.25">
      <c r="B77" s="128"/>
      <c r="C77" s="111" t="s">
        <v>123</v>
      </c>
      <c r="D77" s="112"/>
      <c r="E77" s="109"/>
      <c r="F77" s="146">
        <f>INDEX(Data!$F$4:$AZ$106,MATCH('Bank Template Tool - 2013'!G77,Data!$F$4:$F$106,0),MATCH('Bank Template Tool - 2013'!F$1,Data!$F$4:$AZ$4,0))</f>
        <v>5684000</v>
      </c>
      <c r="G77" s="76" t="s">
        <v>124</v>
      </c>
      <c r="H77" s="147"/>
      <c r="I77" s="65"/>
    </row>
    <row r="78" spans="2:9" x14ac:dyDescent="0.25">
      <c r="B78" s="128"/>
      <c r="C78" s="111" t="s">
        <v>125</v>
      </c>
      <c r="D78" s="112"/>
      <c r="E78" s="109"/>
      <c r="F78" s="146">
        <f>INDEX(Data!$F$4:$AZ$106,MATCH('Bank Template Tool - 2013'!G78,Data!$F$4:$F$106,0),MATCH('Bank Template Tool - 2013'!F$1,Data!$F$4:$AZ$4,0))</f>
        <v>9926000</v>
      </c>
      <c r="G78" s="76" t="s">
        <v>126</v>
      </c>
      <c r="H78" s="147"/>
      <c r="I78" s="65"/>
    </row>
    <row r="79" spans="2:9" x14ac:dyDescent="0.25">
      <c r="B79" s="128"/>
      <c r="C79" s="111" t="s">
        <v>127</v>
      </c>
      <c r="D79" s="112"/>
      <c r="E79" s="109"/>
      <c r="F79" s="146">
        <f>INDEX(Data!$F$4:$AZ$106,MATCH('Bank Template Tool - 2013'!G79,Data!$F$4:$F$106,0),MATCH('Bank Template Tool - 2013'!F$1,Data!$F$4:$AZ$4,0))</f>
        <v>940000</v>
      </c>
      <c r="G79" s="76" t="s">
        <v>128</v>
      </c>
      <c r="H79" s="147"/>
      <c r="I79" s="65"/>
    </row>
    <row r="80" spans="2:9" x14ac:dyDescent="0.25">
      <c r="B80" s="128"/>
      <c r="C80" s="111" t="s">
        <v>129</v>
      </c>
      <c r="D80" s="112"/>
      <c r="E80" s="109"/>
      <c r="F80" s="146">
        <f>INDEX(Data!$F$4:$AZ$106,MATCH('Bank Template Tool - 2013'!G80,Data!$F$4:$F$106,0),MATCH('Bank Template Tool - 2013'!F$1,Data!$F$4:$AZ$4,0))</f>
        <v>0</v>
      </c>
      <c r="G80" s="76" t="s">
        <v>130</v>
      </c>
      <c r="H80" s="147"/>
      <c r="I80" s="65"/>
    </row>
    <row r="81" spans="2:12" x14ac:dyDescent="0.25">
      <c r="B81" s="128"/>
      <c r="C81" s="154" t="s">
        <v>131</v>
      </c>
      <c r="D81" s="155"/>
      <c r="E81" s="156"/>
      <c r="F81" s="129">
        <f>INDEX(Data!$F$4:$AZ$106,MATCH('Bank Template Tool - 2013'!G81,Data!$F$4:$F$106,0),MATCH('Bank Template Tool - 2013'!F$1,Data!$F$4:$AZ$4,0))</f>
        <v>84892000</v>
      </c>
      <c r="G81" s="76" t="s">
        <v>132</v>
      </c>
      <c r="H81" s="70"/>
      <c r="I81" s="65"/>
    </row>
    <row r="82" spans="2:12" x14ac:dyDescent="0.25">
      <c r="B82" s="160"/>
      <c r="C82" s="161"/>
      <c r="D82" s="161"/>
      <c r="E82" s="162"/>
      <c r="F82" s="163"/>
      <c r="G82" s="164"/>
      <c r="H82" s="135"/>
      <c r="I82" s="65"/>
    </row>
    <row r="83" spans="2:12" x14ac:dyDescent="0.25">
      <c r="B83" s="62" t="s">
        <v>133</v>
      </c>
      <c r="C83" s="63"/>
      <c r="D83" s="63"/>
      <c r="E83" s="63"/>
      <c r="F83" s="136"/>
      <c r="G83" s="63"/>
      <c r="H83" s="64"/>
      <c r="I83" s="65"/>
    </row>
    <row r="84" spans="2:12" x14ac:dyDescent="0.25">
      <c r="B84" s="137"/>
      <c r="C84" s="138"/>
      <c r="D84" s="138"/>
      <c r="E84" s="139"/>
      <c r="F84" s="140"/>
      <c r="G84" s="141"/>
      <c r="H84" s="70"/>
      <c r="I84" s="65"/>
    </row>
    <row r="85" spans="2:12" x14ac:dyDescent="0.25">
      <c r="B85" s="137"/>
      <c r="C85" s="540" t="s">
        <v>134</v>
      </c>
      <c r="D85" s="542" t="s">
        <v>135</v>
      </c>
      <c r="E85" s="542" t="s">
        <v>136</v>
      </c>
      <c r="F85" s="532" t="s">
        <v>27</v>
      </c>
      <c r="G85" s="141"/>
      <c r="H85" s="70"/>
      <c r="I85" s="65"/>
    </row>
    <row r="86" spans="2:12" x14ac:dyDescent="0.25">
      <c r="B86" s="106"/>
      <c r="C86" s="541"/>
      <c r="D86" s="543"/>
      <c r="E86" s="543"/>
      <c r="F86" s="533"/>
      <c r="G86" s="105"/>
      <c r="H86" s="70"/>
      <c r="I86" s="65"/>
      <c r="J86" s="168"/>
      <c r="L86" s="168"/>
    </row>
    <row r="87" spans="2:12" x14ac:dyDescent="0.25">
      <c r="B87" s="106"/>
      <c r="C87" s="107" t="s">
        <v>137</v>
      </c>
      <c r="D87" s="165" t="s">
        <v>138</v>
      </c>
      <c r="E87" s="166">
        <f>INDEX(Data!$F$4:$AZ$106,MATCH(G87&amp;"CUR",Data!$F$4:$F$106,0),MATCH('Bank Template Tool - 2013'!F$1,Data!$F$4:$AZ$4,0))</f>
        <v>12554158</v>
      </c>
      <c r="F87" s="167">
        <f>INDEX(Data!$F$4:$AZ$106,MATCH('Bank Template Tool - 2013'!G87,Data!$F$4:$F$106,0),MATCH('Bank Template Tool - 2013'!F$1,Data!$F$4:$AZ$4,0))</f>
        <v>9153814.8046550062</v>
      </c>
      <c r="G87" s="76" t="s">
        <v>140</v>
      </c>
      <c r="H87" s="70"/>
      <c r="I87" s="65"/>
      <c r="J87" s="168"/>
      <c r="K87" s="168"/>
      <c r="L87" s="168"/>
    </row>
    <row r="88" spans="2:12" x14ac:dyDescent="0.25">
      <c r="B88" s="106"/>
      <c r="C88" s="111" t="s">
        <v>141</v>
      </c>
      <c r="D88" s="169" t="s">
        <v>142</v>
      </c>
      <c r="E88" s="170">
        <f>INDEX(Data!$F$4:$AZ$106,MATCH(G88&amp;"CUR",Data!$F$4:$F$106,0),MATCH('Bank Template Tool - 2013'!F$1,Data!$F$4:$AZ$4,0))</f>
        <v>8324586</v>
      </c>
      <c r="F88" s="171">
        <f>INDEX(Data!$F$4:$AZ$106,MATCH('Bank Template Tool - 2013'!G88,Data!$F$4:$F$106,0),MATCH('Bank Template Tool - 2013'!F$1,Data!$F$4:$AZ$4,0))</f>
        <v>2919117.5742525118</v>
      </c>
      <c r="G88" s="76" t="s">
        <v>143</v>
      </c>
      <c r="H88" s="70"/>
      <c r="I88" s="65"/>
      <c r="J88" s="168"/>
      <c r="K88" s="168"/>
      <c r="L88" s="168"/>
    </row>
    <row r="89" spans="2:12" x14ac:dyDescent="0.25">
      <c r="B89" s="106"/>
      <c r="C89" s="111" t="s">
        <v>144</v>
      </c>
      <c r="D89" s="169" t="s">
        <v>145</v>
      </c>
      <c r="E89" s="172">
        <f>INDEX(Data!$F$4:$AZ$106,MATCH(G89&amp;"CUR",Data!$F$4:$F$106,0),MATCH('Bank Template Tool - 2013'!F$1,Data!$F$4:$AZ$4,0))</f>
        <v>4503708</v>
      </c>
      <c r="F89" s="171">
        <f>INDEX(Data!$F$4:$AZ$106,MATCH('Bank Template Tool - 2013'!G89,Data!$F$4:$F$106,0),MATCH('Bank Template Tool - 2013'!F$1,Data!$F$4:$AZ$4,0))</f>
        <v>3294519.225283836</v>
      </c>
      <c r="G89" s="76" t="s">
        <v>146</v>
      </c>
      <c r="H89" s="70"/>
      <c r="I89" s="65"/>
      <c r="J89" s="168"/>
      <c r="K89" s="168"/>
      <c r="L89" s="168"/>
    </row>
    <row r="90" spans="2:12" x14ac:dyDescent="0.25">
      <c r="B90" s="106"/>
      <c r="C90" s="111" t="s">
        <v>147</v>
      </c>
      <c r="D90" s="169" t="s">
        <v>148</v>
      </c>
      <c r="E90" s="173">
        <f>INDEX(Data!$F$4:$AZ$106,MATCH(G90&amp;"CUR",Data!$F$4:$F$106,0),MATCH('Bank Template Tool - 2013'!F$1,Data!$F$4:$AZ$4,0))</f>
        <v>1200039</v>
      </c>
      <c r="F90" s="171">
        <f>INDEX(Data!$F$4:$AZ$106,MATCH('Bank Template Tool - 2013'!G90,Data!$F$4:$F$106,0),MATCH('Bank Template Tool - 2013'!F$1,Data!$F$4:$AZ$4,0))</f>
        <v>974848.95636143093</v>
      </c>
      <c r="G90" s="76" t="s">
        <v>149</v>
      </c>
      <c r="H90" s="70"/>
      <c r="I90" s="65"/>
      <c r="J90" s="168"/>
      <c r="K90" s="168"/>
      <c r="L90" s="168"/>
    </row>
    <row r="91" spans="2:12" x14ac:dyDescent="0.25">
      <c r="B91" s="106"/>
      <c r="C91" s="111" t="s">
        <v>150</v>
      </c>
      <c r="D91" s="169" t="s">
        <v>151</v>
      </c>
      <c r="E91" s="174">
        <f>INDEX(Data!$F$4:$AZ$106,MATCH(G91&amp;"CUR",Data!$F$4:$F$106,0),MATCH('Bank Template Tool - 2013'!F$1,Data!$F$4:$AZ$4,0))</f>
        <v>35101063</v>
      </c>
      <c r="F91" s="171">
        <f>INDEX(Data!$F$4:$AZ$106,MATCH('Bank Template Tool - 2013'!G91,Data!$F$4:$F$106,0),MATCH('Bank Template Tool - 2013'!F$1,Data!$F$4:$AZ$4,0))</f>
        <v>4300418.3518968532</v>
      </c>
      <c r="G91" s="76" t="s">
        <v>152</v>
      </c>
      <c r="H91" s="70"/>
      <c r="I91" s="65"/>
      <c r="J91" s="168"/>
      <c r="K91" s="168"/>
      <c r="L91" s="168"/>
    </row>
    <row r="92" spans="2:12" x14ac:dyDescent="0.25">
      <c r="B92" s="106"/>
      <c r="C92" s="111" t="s">
        <v>153</v>
      </c>
      <c r="D92" s="169" t="s">
        <v>154</v>
      </c>
      <c r="E92" s="175">
        <f>INDEX(Data!$F$4:$AZ$106,MATCH(G92&amp;"CUR",Data!$F$4:$F$106,0),MATCH('Bank Template Tool - 2013'!F$1,Data!$F$4:$AZ$4,0))</f>
        <v>163889330</v>
      </c>
      <c r="F92" s="171">
        <f>INDEX(Data!$F$4:$AZ$106,MATCH('Bank Template Tool - 2013'!G92,Data!$F$4:$F$106,0),MATCH('Bank Template Tool - 2013'!F$1,Data!$F$4:$AZ$4,0))</f>
        <v>163889330</v>
      </c>
      <c r="G92" s="76" t="s">
        <v>155</v>
      </c>
      <c r="H92" s="70"/>
      <c r="I92" s="65"/>
      <c r="J92" s="168"/>
      <c r="K92" s="168"/>
      <c r="L92" s="168"/>
    </row>
    <row r="93" spans="2:12" x14ac:dyDescent="0.25">
      <c r="B93" s="106"/>
      <c r="C93" s="111" t="s">
        <v>156</v>
      </c>
      <c r="D93" s="169" t="s">
        <v>157</v>
      </c>
      <c r="E93" s="176">
        <f>INDEX(Data!$F$4:$AZ$106,MATCH(G93&amp;"CUR",Data!$F$4:$F$106,0),MATCH('Bank Template Tool - 2013'!F$1,Data!$F$4:$AZ$4,0))</f>
        <v>23436358</v>
      </c>
      <c r="F93" s="171">
        <f>INDEX(Data!$F$4:$AZ$106,MATCH('Bank Template Tool - 2013'!G93,Data!$F$4:$F$106,0),MATCH('Bank Template Tool - 2013'!F$1,Data!$F$4:$AZ$4,0))</f>
        <v>27601970.769238975</v>
      </c>
      <c r="G93" s="76" t="s">
        <v>158</v>
      </c>
      <c r="H93" s="70"/>
      <c r="I93" s="65"/>
      <c r="J93" s="168"/>
      <c r="K93" s="168"/>
      <c r="L93" s="168"/>
    </row>
    <row r="94" spans="2:12" x14ac:dyDescent="0.25">
      <c r="B94" s="106"/>
      <c r="C94" s="111" t="s">
        <v>159</v>
      </c>
      <c r="D94" s="169" t="s">
        <v>160</v>
      </c>
      <c r="E94" s="177">
        <f>INDEX(Data!$F$4:$AZ$106,MATCH(G94&amp;"CUR",Data!$F$4:$F$106,0),MATCH('Bank Template Tool - 2013'!F$1,Data!$F$4:$AZ$4,0))</f>
        <v>163015102</v>
      </c>
      <c r="F94" s="171">
        <f>INDEX(Data!$F$4:$AZ$106,MATCH('Bank Template Tool - 2013'!G94,Data!$F$4:$F$106,0),MATCH('Bank Template Tool - 2013'!F$1,Data!$F$4:$AZ$4,0))</f>
        <v>15830195.557599233</v>
      </c>
      <c r="G94" s="76" t="s">
        <v>161</v>
      </c>
      <c r="H94" s="70"/>
      <c r="I94" s="65"/>
      <c r="J94" s="168"/>
      <c r="K94" s="168"/>
      <c r="L94" s="168"/>
    </row>
    <row r="95" spans="2:12" x14ac:dyDescent="0.25">
      <c r="B95" s="106"/>
      <c r="C95" s="111" t="s">
        <v>162</v>
      </c>
      <c r="D95" s="169" t="s">
        <v>163</v>
      </c>
      <c r="E95" s="178">
        <f>INDEX(Data!$F$4:$AZ$106,MATCH(G95&amp;"CUR",Data!$F$4:$F$106,0),MATCH('Bank Template Tool - 2013'!F$1,Data!$F$4:$AZ$4,0))</f>
        <v>116917</v>
      </c>
      <c r="F95" s="171">
        <f>INDEX(Data!$F$4:$AZ$106,MATCH('Bank Template Tool - 2013'!G95,Data!$F$4:$F$106,0),MATCH('Bank Template Tool - 2013'!F$1,Data!$F$4:$AZ$4,0))</f>
        <v>1509.6124281099999</v>
      </c>
      <c r="G95" s="76" t="s">
        <v>164</v>
      </c>
      <c r="H95" s="70"/>
      <c r="I95" s="65"/>
      <c r="J95" s="168"/>
      <c r="K95" s="168"/>
      <c r="L95" s="168"/>
    </row>
    <row r="96" spans="2:12" x14ac:dyDescent="0.25">
      <c r="B96" s="106"/>
      <c r="C96" s="111" t="s">
        <v>165</v>
      </c>
      <c r="D96" s="169" t="s">
        <v>166</v>
      </c>
      <c r="E96" s="179">
        <f>INDEX(Data!$F$4:$AZ$106,MATCH(G96&amp;"CUR",Data!$F$4:$F$106,0),MATCH('Bank Template Tool - 2013'!F$1,Data!$F$4:$AZ$4,0))</f>
        <v>1040849287</v>
      </c>
      <c r="F96" s="171">
        <f>INDEX(Data!$F$4:$AZ$106,MATCH('Bank Template Tool - 2013'!G96,Data!$F$4:$F$106,0),MATCH('Bank Template Tool - 2013'!F$1,Data!$F$4:$AZ$4,0))</f>
        <v>8044986.433243324</v>
      </c>
      <c r="G96" s="76" t="s">
        <v>167</v>
      </c>
      <c r="H96" s="70"/>
      <c r="I96" s="65"/>
      <c r="J96" s="168"/>
      <c r="K96" s="168"/>
      <c r="L96" s="168"/>
    </row>
    <row r="97" spans="2:12" x14ac:dyDescent="0.25">
      <c r="B97" s="106"/>
      <c r="C97" s="111" t="s">
        <v>168</v>
      </c>
      <c r="D97" s="169" t="s">
        <v>169</v>
      </c>
      <c r="E97" s="180">
        <f>INDEX(Data!$F$4:$AZ$106,MATCH(G97&amp;"CUR",Data!$F$4:$F$106,0),MATCH('Bank Template Tool - 2013'!F$1,Data!$F$4:$AZ$4,0))</f>
        <v>5947945</v>
      </c>
      <c r="F97" s="171">
        <f>INDEX(Data!$F$4:$AZ$106,MATCH('Bank Template Tool - 2013'!G97,Data!$F$4:$F$106,0),MATCH('Bank Template Tool - 2013'!F$1,Data!$F$4:$AZ$4,0))</f>
        <v>687775.52419059002</v>
      </c>
      <c r="G97" s="76" t="s">
        <v>170</v>
      </c>
      <c r="H97" s="70"/>
      <c r="I97" s="65"/>
      <c r="J97" s="168"/>
      <c r="K97" s="168"/>
      <c r="L97" s="168"/>
    </row>
    <row r="98" spans="2:12" x14ac:dyDescent="0.25">
      <c r="B98" s="106"/>
      <c r="C98" s="111" t="s">
        <v>171</v>
      </c>
      <c r="D98" s="169" t="s">
        <v>172</v>
      </c>
      <c r="E98" s="181">
        <f>INDEX(Data!$F$4:$AZ$106,MATCH(G98&amp;"CUR",Data!$F$4:$F$106,0),MATCH('Bank Template Tool - 2013'!F$1,Data!$F$4:$AZ$4,0))</f>
        <v>449104358</v>
      </c>
      <c r="F98" s="171">
        <f>INDEX(Data!$F$4:$AZ$106,MATCH('Bank Template Tool - 2013'!G98,Data!$F$4:$F$106,0),MATCH('Bank Template Tool - 2013'!F$1,Data!$F$4:$AZ$4,0))</f>
        <v>338280794.59926176</v>
      </c>
      <c r="G98" s="76" t="s">
        <v>173</v>
      </c>
      <c r="H98" s="70"/>
      <c r="I98" s="65"/>
      <c r="J98" s="168"/>
      <c r="K98" s="168"/>
      <c r="L98" s="168"/>
    </row>
    <row r="99" spans="2:12" x14ac:dyDescent="0.25">
      <c r="B99" s="106"/>
      <c r="C99" s="534" t="s">
        <v>177</v>
      </c>
      <c r="D99" s="535"/>
      <c r="E99" s="536"/>
      <c r="F99" s="182">
        <f>INDEX(Data!$F$4:$AZ$106,MATCH('Bank Template Tool - 2013'!G99,Data!$F$4:$F$106,0),MATCH('Bank Template Tool - 2013'!F$1,Data!$F$4:$AZ$4,0))</f>
        <v>574979281.40841162</v>
      </c>
      <c r="G99" s="76" t="s">
        <v>178</v>
      </c>
      <c r="H99" s="70"/>
      <c r="I99" s="65"/>
    </row>
    <row r="100" spans="2:12" x14ac:dyDescent="0.25">
      <c r="B100" s="137"/>
      <c r="C100" s="138"/>
      <c r="D100" s="138"/>
      <c r="E100" s="139"/>
      <c r="F100" s="140"/>
      <c r="G100" s="141"/>
      <c r="H100" s="70"/>
      <c r="I100" s="65"/>
    </row>
    <row r="101" spans="2:12" x14ac:dyDescent="0.25">
      <c r="B101" s="67"/>
      <c r="C101" s="72" t="s">
        <v>179</v>
      </c>
      <c r="D101" s="73"/>
      <c r="E101" s="74"/>
      <c r="F101" s="142" t="s">
        <v>27</v>
      </c>
      <c r="G101" s="105"/>
      <c r="H101" s="70"/>
      <c r="I101" s="65"/>
    </row>
    <row r="102" spans="2:12" x14ac:dyDescent="0.25">
      <c r="B102" s="183"/>
      <c r="C102" s="184" t="s">
        <v>180</v>
      </c>
      <c r="D102" s="156"/>
      <c r="E102" s="156"/>
      <c r="F102" s="146">
        <f>INDEX(Data!$F$4:$AZ$106,MATCH('Bank Template Tool - 2013'!G102,Data!$F$4:$F$106,0),MATCH('Bank Template Tool - 2013'!F$1,Data!$F$4:$AZ$4,0))</f>
        <v>112395912</v>
      </c>
      <c r="G102" s="76" t="s">
        <v>181</v>
      </c>
      <c r="H102" s="70"/>
      <c r="I102" s="65"/>
    </row>
    <row r="103" spans="2:12" x14ac:dyDescent="0.25">
      <c r="B103" s="137"/>
      <c r="C103" s="138"/>
      <c r="D103" s="138"/>
      <c r="E103" s="139"/>
      <c r="F103" s="140"/>
      <c r="G103" s="141"/>
      <c r="H103" s="70"/>
      <c r="I103" s="65"/>
    </row>
    <row r="104" spans="2:12" x14ac:dyDescent="0.25">
      <c r="B104" s="67"/>
      <c r="C104" s="72" t="s">
        <v>182</v>
      </c>
      <c r="D104" s="73"/>
      <c r="E104" s="74"/>
      <c r="F104" s="142" t="s">
        <v>27</v>
      </c>
      <c r="G104" s="105"/>
      <c r="H104" s="70"/>
      <c r="I104" s="65"/>
    </row>
    <row r="105" spans="2:12" x14ac:dyDescent="0.25">
      <c r="B105" s="106"/>
      <c r="C105" s="107" t="s">
        <v>183</v>
      </c>
      <c r="D105" s="144"/>
      <c r="E105" s="145"/>
      <c r="F105" s="146">
        <f>INDEX(Data!$F$4:$AZ$106,MATCH('Bank Template Tool - 2013'!G105,Data!$F$4:$F$106,0),MATCH('Bank Template Tool - 2013'!F$1,Data!$F$4:$AZ$4,0))</f>
        <v>882188</v>
      </c>
      <c r="G105" s="76" t="s">
        <v>184</v>
      </c>
      <c r="H105" s="70"/>
      <c r="I105" s="65"/>
    </row>
    <row r="106" spans="2:12" x14ac:dyDescent="0.25">
      <c r="B106" s="106"/>
      <c r="C106" s="185" t="s">
        <v>185</v>
      </c>
      <c r="D106" s="186"/>
      <c r="E106" s="153"/>
      <c r="F106" s="146">
        <f>INDEX(Data!$F$4:$AZ$106,MATCH('Bank Template Tool - 2013'!G106,Data!$F$4:$F$106,0),MATCH('Bank Template Tool - 2013'!F$1,Data!$F$4:$AZ$4,0))</f>
        <v>3174068</v>
      </c>
      <c r="G106" s="76" t="s">
        <v>186</v>
      </c>
      <c r="H106" s="70"/>
      <c r="I106" s="65"/>
    </row>
    <row r="107" spans="2:12" x14ac:dyDescent="0.25">
      <c r="B107" s="106"/>
      <c r="C107" s="154" t="s">
        <v>187</v>
      </c>
      <c r="D107" s="155"/>
      <c r="E107" s="156"/>
      <c r="F107" s="129">
        <f>INDEX(Data!$F$4:$AZ$106,MATCH('Bank Template Tool - 2013'!G107,Data!$F$4:$F$106,0),MATCH('Bank Template Tool - 2013'!F$1,Data!$F$4:$AZ$4,0))</f>
        <v>4056256</v>
      </c>
      <c r="G107" s="76" t="s">
        <v>188</v>
      </c>
      <c r="H107" s="70"/>
      <c r="I107" s="65"/>
    </row>
    <row r="108" spans="2:12" x14ac:dyDescent="0.25">
      <c r="B108" s="160"/>
      <c r="C108" s="161"/>
      <c r="D108" s="161"/>
      <c r="E108" s="162"/>
      <c r="F108" s="163"/>
      <c r="G108" s="164"/>
      <c r="H108" s="135"/>
      <c r="I108" s="65"/>
    </row>
    <row r="109" spans="2:12" x14ac:dyDescent="0.25">
      <c r="B109" s="62" t="s">
        <v>373</v>
      </c>
      <c r="C109" s="63"/>
      <c r="D109" s="63"/>
      <c r="E109" s="63"/>
      <c r="F109" s="136"/>
      <c r="G109" s="63"/>
      <c r="H109" s="64"/>
      <c r="I109" s="65"/>
    </row>
    <row r="110" spans="2:12" x14ac:dyDescent="0.25">
      <c r="B110" s="137"/>
      <c r="C110" s="138"/>
      <c r="D110" s="138"/>
      <c r="E110" s="139"/>
      <c r="F110" s="140"/>
      <c r="G110" s="141"/>
      <c r="H110" s="70"/>
      <c r="I110" s="65"/>
    </row>
    <row r="111" spans="2:12" x14ac:dyDescent="0.25">
      <c r="B111" s="67"/>
      <c r="C111" s="72" t="s">
        <v>189</v>
      </c>
      <c r="D111" s="73"/>
      <c r="E111" s="74"/>
      <c r="F111" s="142" t="s">
        <v>27</v>
      </c>
      <c r="G111" s="105"/>
      <c r="H111" s="70"/>
      <c r="I111" s="65"/>
    </row>
    <row r="112" spans="2:12" x14ac:dyDescent="0.25">
      <c r="B112" s="187"/>
      <c r="C112" s="188" t="s">
        <v>190</v>
      </c>
      <c r="D112" s="108"/>
      <c r="E112" s="189"/>
      <c r="F112" s="146">
        <f>INDEX(Data!$F$4:$AZ$106,MATCH('Bank Template Tool - 2013'!G112,Data!$F$4:$F$106,0),MATCH('Bank Template Tool - 2013'!F$1,Data!$F$4:$AZ$4,0))</f>
        <v>2234000</v>
      </c>
      <c r="G112" s="76" t="s">
        <v>191</v>
      </c>
      <c r="H112" s="70"/>
      <c r="I112" s="65"/>
    </row>
    <row r="113" spans="2:9" x14ac:dyDescent="0.25">
      <c r="B113" s="187"/>
      <c r="C113" s="185" t="s">
        <v>192</v>
      </c>
      <c r="D113" s="186"/>
      <c r="E113" s="153"/>
      <c r="F113" s="146">
        <f>INDEX(Data!$F$4:$AZ$106,MATCH('Bank Template Tool - 2013'!G113,Data!$F$4:$F$106,0),MATCH('Bank Template Tool - 2013'!F$1,Data!$F$4:$AZ$4,0))</f>
        <v>944768000</v>
      </c>
      <c r="G113" s="76" t="s">
        <v>193</v>
      </c>
      <c r="H113" s="70"/>
      <c r="I113" s="65"/>
    </row>
    <row r="114" spans="2:9" x14ac:dyDescent="0.25">
      <c r="B114" s="187"/>
      <c r="C114" s="154" t="s">
        <v>194</v>
      </c>
      <c r="D114" s="155"/>
      <c r="E114" s="156"/>
      <c r="F114" s="129">
        <f>INDEX(Data!$F$4:$AZ$106,MATCH('Bank Template Tool - 2013'!G114,Data!$F$4:$F$106,0),MATCH('Bank Template Tool - 2013'!F$1,Data!$F$4:$AZ$4,0))</f>
        <v>947002000</v>
      </c>
      <c r="G114" s="76" t="s">
        <v>195</v>
      </c>
      <c r="H114" s="70"/>
      <c r="I114" s="65"/>
    </row>
    <row r="115" spans="2:9" x14ac:dyDescent="0.25">
      <c r="B115" s="137"/>
      <c r="C115" s="138"/>
      <c r="D115" s="138"/>
      <c r="E115" s="139"/>
      <c r="F115" s="140"/>
      <c r="G115" s="141"/>
      <c r="H115" s="70"/>
      <c r="I115" s="65"/>
    </row>
    <row r="116" spans="2:9" x14ac:dyDescent="0.25">
      <c r="B116" s="67"/>
      <c r="C116" s="72" t="s">
        <v>196</v>
      </c>
      <c r="D116" s="73"/>
      <c r="E116" s="74"/>
      <c r="F116" s="142" t="s">
        <v>27</v>
      </c>
      <c r="G116" s="105"/>
      <c r="H116" s="70"/>
      <c r="I116" s="65"/>
    </row>
    <row r="117" spans="2:9" x14ac:dyDescent="0.25">
      <c r="B117" s="106"/>
      <c r="C117" s="107" t="s">
        <v>197</v>
      </c>
      <c r="D117" s="144"/>
      <c r="E117" s="145"/>
      <c r="F117" s="146">
        <f>INDEX(Data!$F$4:$AZ$106,MATCH('Bank Template Tool - 2013'!G117,Data!$F$4:$F$106,0),MATCH('Bank Template Tool - 2013'!F$1,Data!$F$4:$AZ$4,0))</f>
        <v>10250000</v>
      </c>
      <c r="G117" s="76" t="s">
        <v>198</v>
      </c>
      <c r="H117" s="70"/>
      <c r="I117" s="65"/>
    </row>
    <row r="118" spans="2:9" x14ac:dyDescent="0.25">
      <c r="B118" s="106"/>
      <c r="C118" s="111" t="s">
        <v>199</v>
      </c>
      <c r="D118" s="112"/>
      <c r="E118" s="109"/>
      <c r="F118" s="146">
        <f>INDEX(Data!$F$4:$AZ$106,MATCH('Bank Template Tool - 2013'!G118,Data!$F$4:$F$106,0),MATCH('Bank Template Tool - 2013'!F$1,Data!$F$4:$AZ$4,0))</f>
        <v>27581000</v>
      </c>
      <c r="G118" s="76" t="s">
        <v>200</v>
      </c>
      <c r="H118" s="70"/>
      <c r="I118" s="65"/>
    </row>
    <row r="119" spans="2:9" x14ac:dyDescent="0.25">
      <c r="B119" s="106"/>
      <c r="C119" s="111" t="s">
        <v>201</v>
      </c>
      <c r="D119" s="112"/>
      <c r="E119" s="109"/>
      <c r="F119" s="146">
        <f>INDEX(Data!$F$4:$AZ$106,MATCH('Bank Template Tool - 2013'!G119,Data!$F$4:$F$106,0),MATCH('Bank Template Tool - 2013'!F$1,Data!$F$4:$AZ$4,0))</f>
        <v>36103000</v>
      </c>
      <c r="G119" s="76" t="s">
        <v>202</v>
      </c>
      <c r="H119" s="70"/>
      <c r="I119" s="190"/>
    </row>
    <row r="120" spans="2:9" x14ac:dyDescent="0.25">
      <c r="B120" s="106"/>
      <c r="C120" s="117" t="s">
        <v>203</v>
      </c>
      <c r="D120" s="118"/>
      <c r="E120" s="109"/>
      <c r="F120" s="146">
        <f>INDEX(Data!$F$4:$AZ$106,MATCH('Bank Template Tool - 2013'!G120,Data!$F$4:$F$106,0),MATCH('Bank Template Tool - 2013'!F$1,Data!$F$4:$AZ$4,0))</f>
        <v>603000</v>
      </c>
      <c r="G120" s="76" t="s">
        <v>204</v>
      </c>
      <c r="H120" s="70"/>
      <c r="I120" s="190"/>
    </row>
    <row r="121" spans="2:9" x14ac:dyDescent="0.25">
      <c r="B121" s="106"/>
      <c r="C121" s="154" t="s">
        <v>205</v>
      </c>
      <c r="D121" s="155"/>
      <c r="E121" s="156"/>
      <c r="F121" s="129">
        <f>INDEX(Data!$F$4:$AZ$106,MATCH('Bank Template Tool - 2013'!G121,Data!$F$4:$F$106,0),MATCH('Bank Template Tool - 2013'!F$1,Data!$F$4:$AZ$4,0))</f>
        <v>1125000</v>
      </c>
      <c r="G121" s="76" t="s">
        <v>206</v>
      </c>
      <c r="H121" s="70"/>
      <c r="I121" s="190"/>
    </row>
    <row r="122" spans="2:9" x14ac:dyDescent="0.25">
      <c r="B122" s="137"/>
      <c r="C122" s="138"/>
      <c r="D122" s="138"/>
      <c r="E122" s="139"/>
      <c r="F122" s="140"/>
      <c r="G122" s="141"/>
      <c r="H122" s="70"/>
      <c r="I122" s="65"/>
    </row>
    <row r="123" spans="2:9" x14ac:dyDescent="0.25">
      <c r="B123" s="67"/>
      <c r="C123" s="72" t="s">
        <v>207</v>
      </c>
      <c r="D123" s="73"/>
      <c r="E123" s="74"/>
      <c r="F123" s="142" t="s">
        <v>27</v>
      </c>
      <c r="G123" s="105"/>
      <c r="H123" s="70"/>
      <c r="I123" s="65"/>
    </row>
    <row r="124" spans="2:9" x14ac:dyDescent="0.25">
      <c r="B124" s="106"/>
      <c r="C124" s="184" t="s">
        <v>208</v>
      </c>
      <c r="D124" s="156"/>
      <c r="E124" s="156"/>
      <c r="F124" s="146">
        <f>INDEX(Data!$F$4:$AZ$106,MATCH('Bank Template Tool - 2013'!G124,Data!$F$4:$F$106,0),MATCH('Bank Template Tool - 2013'!F$1,Data!$F$4:$AZ$4,0))</f>
        <v>1321000</v>
      </c>
      <c r="G124" s="76" t="s">
        <v>209</v>
      </c>
      <c r="H124" s="70"/>
      <c r="I124" s="190"/>
    </row>
    <row r="125" spans="2:9" x14ac:dyDescent="0.25">
      <c r="B125" s="160"/>
      <c r="C125" s="191"/>
      <c r="D125" s="191"/>
      <c r="E125" s="192"/>
      <c r="F125" s="193"/>
      <c r="G125" s="164"/>
      <c r="H125" s="135"/>
      <c r="I125" s="65"/>
    </row>
    <row r="126" spans="2:9" x14ac:dyDescent="0.25">
      <c r="B126" s="194" t="s">
        <v>210</v>
      </c>
      <c r="C126" s="63"/>
      <c r="D126" s="63"/>
      <c r="E126" s="63"/>
      <c r="F126" s="136"/>
      <c r="G126" s="63"/>
      <c r="H126" s="64"/>
      <c r="I126" s="190"/>
    </row>
    <row r="127" spans="2:9" x14ac:dyDescent="0.25">
      <c r="B127" s="137"/>
      <c r="C127" s="138"/>
      <c r="D127" s="138"/>
      <c r="E127" s="139"/>
      <c r="F127" s="140"/>
      <c r="G127" s="141"/>
      <c r="H127" s="70"/>
      <c r="I127" s="65"/>
    </row>
    <row r="128" spans="2:9" x14ac:dyDescent="0.25">
      <c r="B128" s="67"/>
      <c r="C128" s="72" t="s">
        <v>211</v>
      </c>
      <c r="D128" s="73"/>
      <c r="E128" s="74"/>
      <c r="F128" s="142" t="s">
        <v>27</v>
      </c>
      <c r="G128" s="105"/>
      <c r="H128" s="70"/>
      <c r="I128" s="65"/>
    </row>
    <row r="129" spans="2:11" x14ac:dyDescent="0.25">
      <c r="B129" s="183"/>
      <c r="C129" s="107" t="s">
        <v>212</v>
      </c>
      <c r="D129" s="144"/>
      <c r="E129" s="145"/>
      <c r="F129" s="146">
        <f>INDEX(Data!$F$4:$AZ$106,MATCH('Bank Template Tool - 2013'!G129,Data!$F$4:$F$106,0),MATCH('Bank Template Tool - 2013'!F$1,Data!$F$4:$AZ$4,0))</f>
        <v>94970361</v>
      </c>
      <c r="G129" s="76" t="s">
        <v>213</v>
      </c>
      <c r="H129" s="70"/>
      <c r="I129" s="190"/>
    </row>
    <row r="130" spans="2:11" x14ac:dyDescent="0.25">
      <c r="B130" s="106"/>
      <c r="C130" s="184" t="s">
        <v>214</v>
      </c>
      <c r="D130" s="156"/>
      <c r="E130" s="156"/>
      <c r="F130" s="129">
        <f>INDEX(Data!$F$4:$AZ$106,MATCH('Bank Template Tool - 2013'!G130,Data!$F$4:$F$106,0),MATCH('Bank Template Tool - 2013'!F$1,Data!$F$4:$AZ$4,0))</f>
        <v>94970361</v>
      </c>
      <c r="G130" s="76" t="s">
        <v>215</v>
      </c>
      <c r="H130" s="70"/>
      <c r="I130" s="65"/>
    </row>
    <row r="131" spans="2:11" x14ac:dyDescent="0.25">
      <c r="B131" s="137"/>
      <c r="C131" s="138"/>
      <c r="D131" s="138"/>
      <c r="E131" s="139"/>
      <c r="F131" s="140"/>
      <c r="G131" s="141"/>
      <c r="H131" s="70"/>
      <c r="I131" s="65"/>
    </row>
    <row r="132" spans="2:11" x14ac:dyDescent="0.25">
      <c r="B132" s="67"/>
      <c r="C132" s="72" t="s">
        <v>216</v>
      </c>
      <c r="D132" s="73"/>
      <c r="E132" s="74"/>
      <c r="F132" s="142" t="s">
        <v>27</v>
      </c>
      <c r="G132" s="105"/>
      <c r="H132" s="70"/>
      <c r="I132" s="65"/>
    </row>
    <row r="133" spans="2:11" x14ac:dyDescent="0.25">
      <c r="B133" s="106"/>
      <c r="C133" s="107" t="s">
        <v>217</v>
      </c>
      <c r="D133" s="144"/>
      <c r="E133" s="145"/>
      <c r="F133" s="146">
        <f>INDEX(Data!$F$4:$AZ$106,MATCH('Bank Template Tool - 2013'!G133,Data!$F$4:$F$106,0),MATCH('Bank Template Tool - 2013'!F$1,Data!$F$4:$AZ$4,0))</f>
        <v>153594042</v>
      </c>
      <c r="G133" s="76" t="s">
        <v>218</v>
      </c>
      <c r="H133" s="70"/>
      <c r="I133" s="190"/>
      <c r="K133" s="195"/>
    </row>
    <row r="134" spans="2:11" x14ac:dyDescent="0.25">
      <c r="B134" s="106"/>
      <c r="C134" s="115" t="s">
        <v>219</v>
      </c>
      <c r="D134" s="116"/>
      <c r="E134" s="109"/>
      <c r="F134" s="146">
        <f>INDEX(Data!$F$4:$AZ$106,MATCH('Bank Template Tool - 2013'!G134,Data!$F$4:$F$106,0),MATCH('Bank Template Tool - 2013'!F$1,Data!$F$4:$AZ$4,0))</f>
        <v>69491191</v>
      </c>
      <c r="G134" s="76" t="s">
        <v>220</v>
      </c>
      <c r="H134" s="70"/>
      <c r="I134" s="190"/>
    </row>
    <row r="135" spans="2:11" x14ac:dyDescent="0.25">
      <c r="B135" s="106"/>
      <c r="C135" s="111" t="s">
        <v>221</v>
      </c>
      <c r="D135" s="112"/>
      <c r="E135" s="109"/>
      <c r="F135" s="146">
        <f>INDEX(Data!$F$4:$AZ$106,MATCH('Bank Template Tool - 2013'!G135,Data!$F$4:$F$106,0),MATCH('Bank Template Tool - 2013'!F$1,Data!$F$4:$AZ$4,0))</f>
        <v>33206220</v>
      </c>
      <c r="G135" s="76" t="s">
        <v>222</v>
      </c>
      <c r="H135" s="70"/>
      <c r="I135" s="190"/>
    </row>
    <row r="136" spans="2:11" x14ac:dyDescent="0.25">
      <c r="B136" s="106"/>
      <c r="C136" s="154" t="s">
        <v>223</v>
      </c>
      <c r="D136" s="155"/>
      <c r="E136" s="156"/>
      <c r="F136" s="129">
        <f>INDEX(Data!$F$4:$AZ$106,MATCH('Bank Template Tool - 2013'!G136,Data!$F$4:$F$106,0),MATCH('Bank Template Tool - 2013'!F$1,Data!$F$4:$AZ$4,0))</f>
        <v>117309071</v>
      </c>
      <c r="G136" s="76" t="s">
        <v>224</v>
      </c>
      <c r="H136" s="70"/>
      <c r="I136" s="190"/>
    </row>
    <row r="137" spans="2:11" x14ac:dyDescent="0.25">
      <c r="B137" s="160"/>
      <c r="C137" s="161"/>
      <c r="D137" s="161"/>
      <c r="E137" s="162"/>
      <c r="F137" s="163"/>
      <c r="G137" s="164"/>
      <c r="H137" s="135"/>
      <c r="I137" s="65"/>
    </row>
    <row r="138" spans="2:11" x14ac:dyDescent="0.25">
      <c r="B138" s="194" t="s">
        <v>225</v>
      </c>
      <c r="C138" s="63"/>
      <c r="D138" s="63"/>
      <c r="E138" s="63"/>
      <c r="F138" s="136"/>
      <c r="G138" s="63"/>
      <c r="H138" s="64"/>
      <c r="I138" s="190"/>
    </row>
    <row r="139" spans="2:11" x14ac:dyDescent="0.25">
      <c r="B139" s="130"/>
      <c r="C139" s="132"/>
      <c r="D139" s="132"/>
      <c r="E139" s="132"/>
      <c r="F139" s="196"/>
      <c r="G139" s="197"/>
      <c r="H139" s="135"/>
      <c r="I139" s="190"/>
    </row>
    <row r="140" spans="2:11" x14ac:dyDescent="0.25"/>
    <row r="141" spans="2:11" x14ac:dyDescent="0.25"/>
    <row r="142" spans="2:11" x14ac:dyDescent="0.25"/>
    <row r="143" spans="2:11" x14ac:dyDescent="0.25"/>
    <row r="144" spans="2:11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hidden="1" x14ac:dyDescent="0.25"/>
  </sheetData>
  <sortState ref="J6:L41">
    <sortCondition ref="J6:J41"/>
  </sortState>
  <mergeCells count="7">
    <mergeCell ref="F85:F86"/>
    <mergeCell ref="C99:E99"/>
    <mergeCell ref="C42:E42"/>
    <mergeCell ref="C85:C86"/>
    <mergeCell ref="D85:D86"/>
    <mergeCell ref="E85:E86"/>
    <mergeCell ref="C61:E61"/>
  </mergeCell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headerFooter>
    <oddFooter>&amp;LEuropean Banking Authority&amp;Cofficial figures are on institutions' website&amp;REnd-2013 G-SII disclosure exercise</oddFooter>
  </headerFooter>
  <rowBreaks count="1" manualBreakCount="1">
    <brk id="107" max="8" man="1"/>
  </rowBreaks>
  <ignoredErrors>
    <ignoredError sqref="F9 F35 F50 F68 F5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'aux - sample'!$A$3:$A$38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  <pageSetUpPr fitToPage="1"/>
  </sheetPr>
  <dimension ref="A1:U50"/>
  <sheetViews>
    <sheetView showGridLines="0" zoomScale="70" zoomScaleNormal="70" workbookViewId="0">
      <pane xSplit="5" ySplit="6" topLeftCell="F7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I42"/>
    </sheetView>
  </sheetViews>
  <sheetFormatPr defaultColWidth="0" defaultRowHeight="15.75" customHeight="1" zeroHeight="1" x14ac:dyDescent="0.25"/>
  <cols>
    <col min="1" max="1" width="8" style="514" hidden="1" customWidth="1"/>
    <col min="2" max="2" width="11.7109375" style="514" hidden="1" customWidth="1"/>
    <col min="3" max="3" width="3.28515625" style="514" hidden="1" customWidth="1"/>
    <col min="4" max="4" width="4.7109375" style="514" hidden="1" customWidth="1"/>
    <col min="5" max="5" width="38.140625" style="6" customWidth="1"/>
    <col min="6" max="6" width="20.7109375" style="1" customWidth="1"/>
    <col min="7" max="7" width="20.7109375" style="4" customWidth="1"/>
    <col min="8" max="17" width="20.7109375" style="1" customWidth="1"/>
    <col min="18" max="18" width="4.7109375" style="1" customWidth="1"/>
    <col min="19" max="21" width="9.140625" style="1" customWidth="1"/>
    <col min="22" max="16384" width="9.140625" style="1" hidden="1"/>
  </cols>
  <sheetData>
    <row r="1" spans="1:17" ht="15.75" customHeight="1" x14ac:dyDescent="0.25">
      <c r="F1" s="44" t="s">
        <v>70</v>
      </c>
      <c r="G1" s="45" t="s">
        <v>100</v>
      </c>
      <c r="H1" s="44" t="s">
        <v>115</v>
      </c>
      <c r="I1" s="44" t="s">
        <v>132</v>
      </c>
      <c r="J1" s="44" t="s">
        <v>178</v>
      </c>
      <c r="K1" s="44" t="s">
        <v>181</v>
      </c>
      <c r="L1" s="44" t="s">
        <v>188</v>
      </c>
      <c r="M1" s="44" t="s">
        <v>195</v>
      </c>
      <c r="N1" s="44" t="s">
        <v>206</v>
      </c>
      <c r="O1" s="44" t="s">
        <v>209</v>
      </c>
      <c r="P1" s="44" t="s">
        <v>215</v>
      </c>
      <c r="Q1" s="44" t="s">
        <v>224</v>
      </c>
    </row>
    <row r="2" spans="1:17" s="46" customFormat="1" ht="24" customHeight="1" thickBot="1" x14ac:dyDescent="0.3">
      <c r="A2" s="515"/>
      <c r="B2" s="515"/>
      <c r="C2" s="515"/>
      <c r="D2" s="515"/>
      <c r="E2" s="47"/>
      <c r="F2" s="545" t="s">
        <v>379</v>
      </c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</row>
    <row r="3" spans="1:17" s="48" customFormat="1" ht="24" customHeight="1" x14ac:dyDescent="0.25">
      <c r="A3" s="516"/>
      <c r="B3" s="516"/>
      <c r="C3" s="516"/>
      <c r="D3" s="516"/>
      <c r="E3" s="49" t="s">
        <v>370</v>
      </c>
      <c r="F3" s="546" t="s">
        <v>227</v>
      </c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8"/>
    </row>
    <row r="4" spans="1:17" s="41" customFormat="1" ht="18.75" x14ac:dyDescent="0.3">
      <c r="A4" s="517"/>
      <c r="B4" s="517"/>
      <c r="C4" s="517"/>
      <c r="D4" s="517"/>
      <c r="E4" s="42"/>
      <c r="F4" s="43" t="s">
        <v>229</v>
      </c>
      <c r="G4" s="552" t="s">
        <v>231</v>
      </c>
      <c r="H4" s="552"/>
      <c r="I4" s="552"/>
      <c r="J4" s="553" t="s">
        <v>235</v>
      </c>
      <c r="K4" s="553"/>
      <c r="L4" s="553"/>
      <c r="M4" s="554" t="s">
        <v>239</v>
      </c>
      <c r="N4" s="554"/>
      <c r="O4" s="554"/>
      <c r="P4" s="544" t="s">
        <v>242</v>
      </c>
      <c r="Q4" s="544"/>
    </row>
    <row r="5" spans="1:17" s="41" customFormat="1" ht="18.75" x14ac:dyDescent="0.3">
      <c r="A5" s="517"/>
      <c r="B5" s="517"/>
      <c r="C5" s="517"/>
      <c r="D5" s="517"/>
      <c r="E5" s="42"/>
      <c r="F5" s="549" t="s">
        <v>228</v>
      </c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1"/>
    </row>
    <row r="6" spans="1:17" ht="110.25" customHeight="1" thickBot="1" x14ac:dyDescent="0.4">
      <c r="E6" s="50" t="s">
        <v>371</v>
      </c>
      <c r="F6" s="230" t="s">
        <v>230</v>
      </c>
      <c r="G6" s="231" t="s">
        <v>232</v>
      </c>
      <c r="H6" s="232" t="s">
        <v>233</v>
      </c>
      <c r="I6" s="233" t="s">
        <v>234</v>
      </c>
      <c r="J6" s="234" t="s">
        <v>236</v>
      </c>
      <c r="K6" s="235" t="s">
        <v>237</v>
      </c>
      <c r="L6" s="236" t="s">
        <v>238</v>
      </c>
      <c r="M6" s="237" t="s">
        <v>402</v>
      </c>
      <c r="N6" s="238" t="s">
        <v>240</v>
      </c>
      <c r="O6" s="239" t="s">
        <v>241</v>
      </c>
      <c r="P6" s="240" t="s">
        <v>243</v>
      </c>
      <c r="Q6" s="241" t="s">
        <v>244</v>
      </c>
    </row>
    <row r="7" spans="1:17" ht="30" customHeight="1" x14ac:dyDescent="0.25">
      <c r="A7" s="514">
        <f>HLOOKUP(C7,Data!$4:$11,7,0)</f>
        <v>1</v>
      </c>
      <c r="B7" s="514">
        <f>IF(HLOOKUP(C7,Data!$4:$11,8,0)=1,1000000,IF(HLOOKUP(C7,Data!$4:$11,8,0)=1000000,1,HLOOKUP(C7,Data!$4:$11,8,0)))</f>
        <v>1000</v>
      </c>
      <c r="C7" s="514" t="str">
        <f>+VLOOKUP(E7,'aux - sample'!$A$3:$B$38,2,FALSE)</f>
        <v>NL_ABN</v>
      </c>
      <c r="E7" s="205" t="s">
        <v>367</v>
      </c>
      <c r="F7" s="206">
        <f>$A7*INDEX(Data!$F$4:$AZ$106,MATCH('Summary - 2013'!F$1,Data!$F$4:$F$106,0),MATCH('Summary - 2013'!$C7,Data!$F$4:$AZ$4,0))/$B7</f>
        <v>421707.62530000001</v>
      </c>
      <c r="G7" s="207">
        <f>$A7*INDEX(Data!$F$4:$AZ$106,MATCH('Summary - 2013'!G$1,Data!$F$4:$F$106,0),MATCH('Summary - 2013'!$C7,Data!$F$4:$AZ$4,0))/$B7</f>
        <v>52974.052000000003</v>
      </c>
      <c r="H7" s="208">
        <f>$A7*INDEX(Data!$F$4:$AZ$106,MATCH('Summary - 2013'!H$1,Data!$F$4:$F$106,0),MATCH('Summary - 2013'!$C7,Data!$F$4:$AZ$4,0))/$B7</f>
        <v>44558.413326000002</v>
      </c>
      <c r="I7" s="209">
        <f>$A7*INDEX(Data!$F$4:$AZ$106,MATCH('Summary - 2013'!I$1,Data!$F$4:$F$106,0),MATCH('Summary - 2013'!$C7,Data!$F$4:$AZ$4,0))/$B7</f>
        <v>84892</v>
      </c>
      <c r="J7" s="210">
        <f>$A7*INDEX(Data!$F$4:$AZ$106,MATCH('Summary - 2013'!J$1,Data!$F$4:$F$106,0),MATCH('Summary - 2013'!$C7,Data!$F$4:$AZ$4,0))/$B7</f>
        <v>574979.28140841157</v>
      </c>
      <c r="K7" s="208">
        <f>$A7*INDEX(Data!$F$4:$AZ$106,MATCH('Summary - 2013'!K$1,Data!$F$4:$F$106,0),MATCH('Summary - 2013'!$C7,Data!$F$4:$AZ$4,0))/$B7</f>
        <v>112395.912</v>
      </c>
      <c r="L7" s="211">
        <f>$A7*INDEX(Data!$F$4:$AZ$106,MATCH('Summary - 2013'!L$1,Data!$F$4:$F$106,0),MATCH('Summary - 2013'!$C7,Data!$F$4:$AZ$4,0))/$B7</f>
        <v>4056.2559999999999</v>
      </c>
      <c r="M7" s="210">
        <f>$A7*INDEX(Data!$F$4:$AZ$106,MATCH('Summary - 2013'!M$1,Data!$F$4:$F$106,0),MATCH('Summary - 2013'!$C7,Data!$F$4:$AZ$4,0))/$B7</f>
        <v>947002</v>
      </c>
      <c r="N7" s="208">
        <f>$A7*INDEX(Data!$F$4:$AZ$106,MATCH('Summary - 2013'!N$1,Data!$F$4:$F$106,0),MATCH('Summary - 2013'!$C7,Data!$F$4:$AZ$4,0))/$B7</f>
        <v>1125</v>
      </c>
      <c r="O7" s="211">
        <f>$A7*INDEX(Data!$F$4:$AZ$106,MATCH('Summary - 2013'!O$1,Data!$F$4:$F$106,0),MATCH('Summary - 2013'!$C7,Data!$F$4:$AZ$4,0))/$B7</f>
        <v>1321</v>
      </c>
      <c r="P7" s="210">
        <f>$A7*INDEX(Data!$F$4:$AZ$106,MATCH('Summary - 2013'!P$1,Data!$F$4:$F$106,0),MATCH('Summary - 2013'!$C7,Data!$F$4:$AZ$4,0))/$B7</f>
        <v>94970.361000000004</v>
      </c>
      <c r="Q7" s="211">
        <f>$A7*INDEX(Data!$F$4:$AZ$106,MATCH('Summary - 2013'!Q$1,Data!$F$4:$F$106,0),MATCH('Summary - 2013'!$C7,Data!$F$4:$AZ$4,0))/$B7</f>
        <v>117309.071</v>
      </c>
    </row>
    <row r="8" spans="1:17" ht="30" customHeight="1" x14ac:dyDescent="0.25">
      <c r="A8" s="514">
        <f>HLOOKUP(C8,Data!$4:$11,7,0)</f>
        <v>1</v>
      </c>
      <c r="B8" s="514">
        <f>IF(HLOOKUP(C8,Data!$4:$11,8,0)=1,1000000,IF(HLOOKUP(C8,Data!$4:$11,8,0)=1000000,1,HLOOKUP(C8,Data!$4:$11,8,0)))</f>
        <v>1000000</v>
      </c>
      <c r="C8" s="514" t="str">
        <f>+VLOOKUP(E8,'aux - sample'!$A$3:$B$38,2,FALSE)</f>
        <v>IT_MPS</v>
      </c>
      <c r="E8" s="205" t="s">
        <v>366</v>
      </c>
      <c r="F8" s="212">
        <f>$A8*INDEX(Data!$F$4:$AZ$106,MATCH('Summary - 2013'!F$1,Data!$F$4:$F$106,0),MATCH('Summary - 2013'!$C8,Data!$F$4:$AZ$4,0))/$B8</f>
        <v>211182.77753939002</v>
      </c>
      <c r="G8" s="213">
        <f>$A8*INDEX(Data!$F$4:$AZ$106,MATCH('Summary - 2013'!G$1,Data!$F$4:$F$106,0),MATCH('Summary - 2013'!$C8,Data!$F$4:$AZ$4,0))/$B8</f>
        <v>35384.270932019994</v>
      </c>
      <c r="H8" s="214">
        <f>$A8*INDEX(Data!$F$4:$AZ$106,MATCH('Summary - 2013'!H$1,Data!$F$4:$F$106,0),MATCH('Summary - 2013'!$C8,Data!$F$4:$AZ$4,0))/$B8</f>
        <v>37948.175392129997</v>
      </c>
      <c r="I8" s="215">
        <f>$A8*INDEX(Data!$F$4:$AZ$106,MATCH('Summary - 2013'!I$1,Data!$F$4:$F$106,0),MATCH('Summary - 2013'!$C8,Data!$F$4:$AZ$4,0))/$B8</f>
        <v>47116.872058269997</v>
      </c>
      <c r="J8" s="216">
        <f>$A8*INDEX(Data!$F$4:$AZ$106,MATCH('Summary - 2013'!J$1,Data!$F$4:$F$106,0),MATCH('Summary - 2013'!$C8,Data!$F$4:$AZ$4,0))/$B8</f>
        <v>784561.17113762209</v>
      </c>
      <c r="K8" s="214">
        <f>$A8*INDEX(Data!$F$4:$AZ$106,MATCH('Summary - 2013'!K$1,Data!$F$4:$F$106,0),MATCH('Summary - 2013'!$C8,Data!$F$4:$AZ$4,0))/$B8</f>
        <v>117544.511</v>
      </c>
      <c r="L8" s="217">
        <f>$A8*INDEX(Data!$F$4:$AZ$106,MATCH('Summary - 2013'!L$1,Data!$F$4:$F$106,0),MATCH('Summary - 2013'!$C8,Data!$F$4:$AZ$4,0))/$B8</f>
        <v>12437.833000000001</v>
      </c>
      <c r="M8" s="216">
        <f>$A8*INDEX(Data!$F$4:$AZ$106,MATCH('Summary - 2013'!M$1,Data!$F$4:$F$106,0),MATCH('Summary - 2013'!$C8,Data!$F$4:$AZ$4,0))/$B8</f>
        <v>332319.99113214749</v>
      </c>
      <c r="N8" s="214">
        <f>$A8*INDEX(Data!$F$4:$AZ$106,MATCH('Summary - 2013'!N$1,Data!$F$4:$F$106,0),MATCH('Summary - 2013'!$C8,Data!$F$4:$AZ$4,0))/$B8</f>
        <v>690.11800000000005</v>
      </c>
      <c r="O8" s="217">
        <f>$A8*INDEX(Data!$F$4:$AZ$106,MATCH('Summary - 2013'!O$1,Data!$F$4:$F$106,0),MATCH('Summary - 2013'!$C8,Data!$F$4:$AZ$4,0))/$B8</f>
        <v>690.60599999999999</v>
      </c>
      <c r="P8" s="216">
        <f>$A8*INDEX(Data!$F$4:$AZ$106,MATCH('Summary - 2013'!P$1,Data!$F$4:$F$106,0),MATCH('Summary - 2013'!$C8,Data!$F$4:$AZ$4,0))/$B8</f>
        <v>8804.1662390000001</v>
      </c>
      <c r="Q8" s="217">
        <f>$A8*INDEX(Data!$F$4:$AZ$106,MATCH('Summary - 2013'!Q$1,Data!$F$4:$F$106,0),MATCH('Summary - 2013'!$C8,Data!$F$4:$AZ$4,0))/$B8</f>
        <v>23336.519476000001</v>
      </c>
    </row>
    <row r="9" spans="1:17" ht="30" customHeight="1" x14ac:dyDescent="0.25">
      <c r="A9" s="514">
        <f>HLOOKUP(C9,Data!$4:$11,7,0)</f>
        <v>1</v>
      </c>
      <c r="B9" s="514">
        <f>IF(HLOOKUP(C9,Data!$4:$11,8,0)=1,1000000,IF(HLOOKUP(C9,Data!$4:$11,8,0)=1000000,1,HLOOKUP(C9,Data!$4:$11,8,0)))</f>
        <v>1000</v>
      </c>
      <c r="C9" s="514" t="str">
        <f>+VLOOKUP(E9,'aux - sample'!$A$3:$B$38,2,FALSE)</f>
        <v>FR_POS</v>
      </c>
      <c r="E9" s="205" t="s">
        <v>362</v>
      </c>
      <c r="F9" s="212">
        <f>$A9*INDEX(Data!$F$4:$AZ$106,MATCH('Summary - 2013'!F$1,Data!$F$4:$F$106,0),MATCH('Summary - 2013'!$C9,Data!$F$4:$AZ$4,0))/$B9</f>
        <v>212493.35845458001</v>
      </c>
      <c r="G9" s="213">
        <f>$A9*INDEX(Data!$F$4:$AZ$106,MATCH('Summary - 2013'!G$1,Data!$F$4:$F$106,0),MATCH('Summary - 2013'!$C9,Data!$F$4:$AZ$4,0))/$B9</f>
        <v>22171.210999999999</v>
      </c>
      <c r="H9" s="214">
        <f>$A9*INDEX(Data!$F$4:$AZ$106,MATCH('Summary - 2013'!H$1,Data!$F$4:$F$106,0),MATCH('Summary - 2013'!$C9,Data!$F$4:$AZ$4,0))/$B9</f>
        <v>17026.074000000001</v>
      </c>
      <c r="I9" s="215">
        <f>$A9*INDEX(Data!$F$4:$AZ$106,MATCH('Summary - 2013'!I$1,Data!$F$4:$F$106,0),MATCH('Summary - 2013'!$C9,Data!$F$4:$AZ$4,0))/$B9</f>
        <v>10171.342000000001</v>
      </c>
      <c r="J9" s="216">
        <f>$A9*INDEX(Data!$F$4:$AZ$106,MATCH('Summary - 2013'!J$1,Data!$F$4:$F$106,0),MATCH('Summary - 2013'!$C9,Data!$F$4:$AZ$4,0))/$B9</f>
        <v>442880.09</v>
      </c>
      <c r="K9" s="214">
        <f>$A9*INDEX(Data!$F$4:$AZ$106,MATCH('Summary - 2013'!K$1,Data!$F$4:$F$106,0),MATCH('Summary - 2013'!$C9,Data!$F$4:$AZ$4,0))/$B9</f>
        <v>135100</v>
      </c>
      <c r="L9" s="217">
        <f>$A9*INDEX(Data!$F$4:$AZ$106,MATCH('Summary - 2013'!L$1,Data!$F$4:$F$106,0),MATCH('Summary - 2013'!$C9,Data!$F$4:$AZ$4,0))/$B9</f>
        <v>0</v>
      </c>
      <c r="M9" s="216">
        <f>$A9*INDEX(Data!$F$4:$AZ$106,MATCH('Summary - 2013'!M$1,Data!$F$4:$F$106,0),MATCH('Summary - 2013'!$C9,Data!$F$4:$AZ$4,0))/$B9</f>
        <v>40567.942000000003</v>
      </c>
      <c r="N9" s="214">
        <f>$A9*INDEX(Data!$F$4:$AZ$106,MATCH('Summary - 2013'!N$1,Data!$F$4:$F$106,0),MATCH('Summary - 2013'!$C9,Data!$F$4:$AZ$4,0))/$B9</f>
        <v>7736.0259999999998</v>
      </c>
      <c r="O9" s="217">
        <f>$A9*INDEX(Data!$F$4:$AZ$106,MATCH('Summary - 2013'!O$1,Data!$F$4:$F$106,0),MATCH('Summary - 2013'!$C9,Data!$F$4:$AZ$4,0))/$B9</f>
        <v>126.63200000000001</v>
      </c>
      <c r="P9" s="216">
        <f>$A9*INDEX(Data!$F$4:$AZ$106,MATCH('Summary - 2013'!P$1,Data!$F$4:$F$106,0),MATCH('Summary - 2013'!$C9,Data!$F$4:$AZ$4,0))/$B9</f>
        <v>557.88599999999997</v>
      </c>
      <c r="Q9" s="217">
        <f>$A9*INDEX(Data!$F$4:$AZ$106,MATCH('Summary - 2013'!Q$1,Data!$F$4:$F$106,0),MATCH('Summary - 2013'!$C9,Data!$F$4:$AZ$4,0))/$B9</f>
        <v>557.88599999999997</v>
      </c>
    </row>
    <row r="10" spans="1:17" ht="30" customHeight="1" x14ac:dyDescent="0.25">
      <c r="A10" s="514">
        <f>HLOOKUP(C10,Data!$4:$11,7,0)</f>
        <v>1.199472232</v>
      </c>
      <c r="B10" s="514">
        <f>IF(HLOOKUP(C10,Data!$4:$11,8,0)=1,1000000,IF(HLOOKUP(C10,Data!$4:$11,8,0)=1000000,1,HLOOKUP(C10,Data!$4:$11,8,0)))</f>
        <v>1</v>
      </c>
      <c r="C10" s="514" t="str">
        <f>+VLOOKUP(E10,'aux - sample'!$A$3:$B$38,2,FALSE)</f>
        <v>UK_BAR</v>
      </c>
      <c r="E10" s="205" t="s">
        <v>303</v>
      </c>
      <c r="F10" s="218">
        <f>$A10*INDEX(Data!$F$4:$AZ$106,MATCH('Summary - 2013'!F$1,Data!$F$4:$F$106,0),MATCH('Summary - 2013'!$C10,Data!$F$4:$AZ$4,0))/$B10</f>
        <v>1962639.6087325828</v>
      </c>
      <c r="G10" s="219">
        <f>$A10*INDEX(Data!$F$4:$AZ$106,MATCH('Summary - 2013'!G$1,Data!$F$4:$F$106,0),MATCH('Summary - 2013'!$C10,Data!$F$4:$AZ$4,0))/$B10</f>
        <v>259692.13215846021</v>
      </c>
      <c r="H10" s="220">
        <f>$A10*INDEX(Data!$F$4:$AZ$106,MATCH('Summary - 2013'!H$1,Data!$F$4:$F$106,0),MATCH('Summary - 2013'!$C10,Data!$F$4:$AZ$4,0))/$B10</f>
        <v>162232.76437657161</v>
      </c>
      <c r="I10" s="221">
        <f>$A10*INDEX(Data!$F$4:$AZ$106,MATCH('Summary - 2013'!I$1,Data!$F$4:$F$106,0),MATCH('Summary - 2013'!$C10,Data!$F$4:$AZ$4,0))/$B10</f>
        <v>243855.46774988642</v>
      </c>
      <c r="J10" s="222">
        <f>$A10*INDEX(Data!$F$4:$AZ$106,MATCH('Summary - 2013'!J$1,Data!$F$4:$F$106,0),MATCH('Summary - 2013'!$C10,Data!$F$4:$AZ$4,0))/$B10</f>
        <v>39112492.711110696</v>
      </c>
      <c r="K10" s="220">
        <f>$A10*INDEX(Data!$F$4:$AZ$106,MATCH('Summary - 2013'!K$1,Data!$F$4:$F$106,0),MATCH('Summary - 2013'!$C10,Data!$F$4:$AZ$4,0))/$B10</f>
        <v>236255.74323479238</v>
      </c>
      <c r="L10" s="223">
        <f>$A10*INDEX(Data!$F$4:$AZ$106,MATCH('Summary - 2013'!L$1,Data!$F$4:$F$106,0),MATCH('Summary - 2013'!$C10,Data!$F$4:$AZ$4,0))/$B10</f>
        <v>312619.73914791254</v>
      </c>
      <c r="M10" s="222">
        <f>$A10*INDEX(Data!$F$4:$AZ$106,MATCH('Summary - 2013'!M$1,Data!$F$4:$F$106,0),MATCH('Summary - 2013'!$C10,Data!$F$4:$AZ$4,0))/$B10</f>
        <v>48244294.101830177</v>
      </c>
      <c r="N10" s="220">
        <f>$A10*INDEX(Data!$F$4:$AZ$106,MATCH('Summary - 2013'!N$1,Data!$F$4:$F$106,0),MATCH('Summary - 2013'!$C10,Data!$F$4:$AZ$4,0))/$B10</f>
        <v>157026.508307816</v>
      </c>
      <c r="O10" s="223">
        <f>$A10*INDEX(Data!$F$4:$AZ$106,MATCH('Summary - 2013'!O$1,Data!$F$4:$F$106,0),MATCH('Summary - 2013'!$C10,Data!$F$4:$AZ$4,0))/$B10</f>
        <v>39479.758054621394</v>
      </c>
      <c r="P10" s="222">
        <f>$A10*INDEX(Data!$F$4:$AZ$106,MATCH('Summary - 2013'!P$1,Data!$F$4:$F$106,0),MATCH('Summary - 2013'!$C10,Data!$F$4:$AZ$4,0))/$B10</f>
        <v>701445.36391244002</v>
      </c>
      <c r="Q10" s="223">
        <f>$A10*INDEX(Data!$F$4:$AZ$106,MATCH('Summary - 2013'!Q$1,Data!$F$4:$F$106,0),MATCH('Summary - 2013'!$C10,Data!$F$4:$AZ$4,0))/$B10</f>
        <v>583873.01608283049</v>
      </c>
    </row>
    <row r="11" spans="1:17" ht="30" customHeight="1" x14ac:dyDescent="0.25">
      <c r="A11" s="514">
        <f>HLOOKUP(C11,Data!$4:$11,7,0)</f>
        <v>1</v>
      </c>
      <c r="B11" s="514">
        <f>IF(HLOOKUP(C11,Data!$4:$11,8,0)=1,1000000,IF(HLOOKUP(C11,Data!$4:$11,8,0)=1000000,1,HLOOKUP(C11,Data!$4:$11,8,0)))</f>
        <v>1000</v>
      </c>
      <c r="C11" s="514" t="str">
        <f>+VLOOKUP(E11,'aux - sample'!$A$3:$B$38,2,FALSE)</f>
        <v>DE_BLB</v>
      </c>
      <c r="E11" s="205" t="s">
        <v>538</v>
      </c>
      <c r="F11" s="218">
        <f>$A11*INDEX(Data!$F$4:$AZ$106,MATCH('Summary - 2013'!F$1,Data!$F$4:$F$106,0),MATCH('Summary - 2013'!$C11,Data!$F$4:$AZ$4,0))/$B11</f>
        <v>289756.51520661876</v>
      </c>
      <c r="G11" s="219">
        <f>$A11*INDEX(Data!$F$4:$AZ$106,MATCH('Summary - 2013'!G$1,Data!$F$4:$F$106,0),MATCH('Summary - 2013'!$C11,Data!$F$4:$AZ$4,0))/$B11</f>
        <v>72793.348768341835</v>
      </c>
      <c r="H11" s="220">
        <f>$A11*INDEX(Data!$F$4:$AZ$106,MATCH('Summary - 2013'!H$1,Data!$F$4:$F$106,0),MATCH('Summary - 2013'!$C11,Data!$F$4:$AZ$4,0))/$B11</f>
        <v>108240.19402811196</v>
      </c>
      <c r="I11" s="221">
        <f>$A11*INDEX(Data!$F$4:$AZ$106,MATCH('Summary - 2013'!I$1,Data!$F$4:$F$106,0),MATCH('Summary - 2013'!$C11,Data!$F$4:$AZ$4,0))/$B11</f>
        <v>78342.672928332875</v>
      </c>
      <c r="J11" s="222">
        <f>$A11*INDEX(Data!$F$4:$AZ$106,MATCH('Summary - 2013'!J$1,Data!$F$4:$F$106,0),MATCH('Summary - 2013'!$C11,Data!$F$4:$AZ$4,0))/$B11</f>
        <v>2694467.2132430645</v>
      </c>
      <c r="K11" s="220">
        <f>$A11*INDEX(Data!$F$4:$AZ$106,MATCH('Summary - 2013'!K$1,Data!$F$4:$F$106,0),MATCH('Summary - 2013'!$C11,Data!$F$4:$AZ$4,0))/$B11</f>
        <v>85168.14</v>
      </c>
      <c r="L11" s="223">
        <f>$A11*INDEX(Data!$F$4:$AZ$106,MATCH('Summary - 2013'!L$1,Data!$F$4:$F$106,0),MATCH('Summary - 2013'!$C11,Data!$F$4:$AZ$4,0))/$B11</f>
        <v>6952.9765024438457</v>
      </c>
      <c r="M11" s="222">
        <f>$A11*INDEX(Data!$F$4:$AZ$106,MATCH('Summary - 2013'!M$1,Data!$F$4:$F$106,0),MATCH('Summary - 2013'!$C11,Data!$F$4:$AZ$4,0))/$B11</f>
        <v>1425525.7312519357</v>
      </c>
      <c r="N11" s="220">
        <f>$A11*INDEX(Data!$F$4:$AZ$106,MATCH('Summary - 2013'!N$1,Data!$F$4:$F$106,0),MATCH('Summary - 2013'!$C11,Data!$F$4:$AZ$4,0))/$B11</f>
        <v>3941.3870000000002</v>
      </c>
      <c r="O11" s="223">
        <f>$A11*INDEX(Data!$F$4:$AZ$106,MATCH('Summary - 2013'!O$1,Data!$F$4:$F$106,0),MATCH('Summary - 2013'!$C11,Data!$F$4:$AZ$4,0))/$B11</f>
        <v>4478</v>
      </c>
      <c r="P11" s="222">
        <f>$A11*INDEX(Data!$F$4:$AZ$106,MATCH('Summary - 2013'!P$1,Data!$F$4:$F$106,0),MATCH('Summary - 2013'!$C11,Data!$F$4:$AZ$4,0))/$B11</f>
        <v>70053.710999999996</v>
      </c>
      <c r="Q11" s="223">
        <f>$A11*INDEX(Data!$F$4:$AZ$106,MATCH('Summary - 2013'!Q$1,Data!$F$4:$F$106,0),MATCH('Summary - 2013'!$C11,Data!$F$4:$AZ$4,0))/$B11</f>
        <v>20748.712</v>
      </c>
    </row>
    <row r="12" spans="1:17" ht="30" customHeight="1" x14ac:dyDescent="0.25">
      <c r="A12" s="514">
        <f>HLOOKUP(C12,Data!$4:$11,7,0)</f>
        <v>1</v>
      </c>
      <c r="B12" s="514">
        <f>IF(HLOOKUP(C12,Data!$4:$11,8,0)=1,1000000,IF(HLOOKUP(C12,Data!$4:$11,8,0)=1000000,1,HLOOKUP(C12,Data!$4:$11,8,0)))</f>
        <v>1000</v>
      </c>
      <c r="C12" s="514" t="str">
        <f>+VLOOKUP(E12,'aux - sample'!$A$3:$B$38,2,FALSE)</f>
        <v>ES_BBV</v>
      </c>
      <c r="E12" s="205" t="s">
        <v>356</v>
      </c>
      <c r="F12" s="218">
        <f>$A12*INDEX(Data!$F$4:$AZ$106,MATCH('Summary - 2013'!F$1,Data!$F$4:$F$106,0),MATCH('Summary - 2013'!$C12,Data!$F$4:$AZ$4,0))/$B12</f>
        <v>681163.78104474302</v>
      </c>
      <c r="G12" s="219">
        <f>$A12*INDEX(Data!$F$4:$AZ$106,MATCH('Summary - 2013'!G$1,Data!$F$4:$F$106,0),MATCH('Summary - 2013'!$C12,Data!$F$4:$AZ$4,0))/$B12</f>
        <v>36559.898771566666</v>
      </c>
      <c r="H12" s="220">
        <f>$A12*INDEX(Data!$F$4:$AZ$106,MATCH('Summary - 2013'!H$1,Data!$F$4:$F$106,0),MATCH('Summary - 2013'!$C12,Data!$F$4:$AZ$4,0))/$B12</f>
        <v>47165.522316194772</v>
      </c>
      <c r="I12" s="221">
        <f>$A12*INDEX(Data!$F$4:$AZ$106,MATCH('Summary - 2013'!I$1,Data!$F$4:$F$106,0),MATCH('Summary - 2013'!$C12,Data!$F$4:$AZ$4,0))/$B12</f>
        <v>146605.25260437006</v>
      </c>
      <c r="J12" s="222">
        <f>$A12*INDEX(Data!$F$4:$AZ$106,MATCH('Summary - 2013'!J$1,Data!$F$4:$F$106,0),MATCH('Summary - 2013'!$C12,Data!$F$4:$AZ$4,0))/$B12</f>
        <v>6048306.3802728523</v>
      </c>
      <c r="K12" s="220">
        <f>$A12*INDEX(Data!$F$4:$AZ$106,MATCH('Summary - 2013'!K$1,Data!$F$4:$F$106,0),MATCH('Summary - 2013'!$C12,Data!$F$4:$AZ$4,0))/$B12</f>
        <v>573882.17500000005</v>
      </c>
      <c r="L12" s="223">
        <f>$A12*INDEX(Data!$F$4:$AZ$106,MATCH('Summary - 2013'!L$1,Data!$F$4:$F$106,0),MATCH('Summary - 2013'!$C12,Data!$F$4:$AZ$4,0))/$B12</f>
        <v>26197.778999999999</v>
      </c>
      <c r="M12" s="222">
        <f>$A12*INDEX(Data!$F$4:$AZ$106,MATCH('Summary - 2013'!M$1,Data!$F$4:$F$106,0),MATCH('Summary - 2013'!$C12,Data!$F$4:$AZ$4,0))/$B12</f>
        <v>1809907.2736984405</v>
      </c>
      <c r="N12" s="220">
        <f>$A12*INDEX(Data!$F$4:$AZ$106,MATCH('Summary - 2013'!N$1,Data!$F$4:$F$106,0),MATCH('Summary - 2013'!$C12,Data!$F$4:$AZ$4,0))/$B12</f>
        <v>32632.698039418145</v>
      </c>
      <c r="O12" s="223">
        <f>$A12*INDEX(Data!$F$4:$AZ$106,MATCH('Summary - 2013'!O$1,Data!$F$4:$F$106,0),MATCH('Summary - 2013'!$C12,Data!$F$4:$AZ$4,0))/$B12</f>
        <v>887.39</v>
      </c>
      <c r="P12" s="222">
        <f>$A12*INDEX(Data!$F$4:$AZ$106,MATCH('Summary - 2013'!P$1,Data!$F$4:$F$106,0),MATCH('Summary - 2013'!$C12,Data!$F$4:$AZ$4,0))/$B12</f>
        <v>260238.663</v>
      </c>
      <c r="Q12" s="223">
        <f>$A12*INDEX(Data!$F$4:$AZ$106,MATCH('Summary - 2013'!Q$1,Data!$F$4:$F$106,0),MATCH('Summary - 2013'!$C12,Data!$F$4:$AZ$4,0))/$B12</f>
        <v>275213.94500000001</v>
      </c>
    </row>
    <row r="13" spans="1:17" ht="30" customHeight="1" x14ac:dyDescent="0.25">
      <c r="A13" s="514">
        <f>HLOOKUP(C13,Data!$4:$11,7,0)</f>
        <v>1</v>
      </c>
      <c r="B13" s="514">
        <f>IF(HLOOKUP(C13,Data!$4:$11,8,0)=1,1000000,IF(HLOOKUP(C13,Data!$4:$11,8,0)=1000000,1,HLOOKUP(C13,Data!$4:$11,8,0)))</f>
        <v>1000</v>
      </c>
      <c r="C13" s="514" t="str">
        <f>+VLOOKUP(E13,'aux - sample'!$A$3:$B$38,2,FALSE)</f>
        <v>FR_BNP</v>
      </c>
      <c r="E13" s="205" t="s">
        <v>359</v>
      </c>
      <c r="F13" s="218">
        <f>$A13*INDEX(Data!$F$4:$AZ$106,MATCH('Summary - 2013'!F$1,Data!$F$4:$F$106,0),MATCH('Summary - 2013'!$C13,Data!$F$4:$AZ$4,0))/$B13</f>
        <v>2031623.0665639413</v>
      </c>
      <c r="G13" s="219">
        <f>$A13*INDEX(Data!$F$4:$AZ$106,MATCH('Summary - 2013'!G$1,Data!$F$4:$F$106,0),MATCH('Summary - 2013'!$C13,Data!$F$4:$AZ$4,0))/$B13</f>
        <v>205328.77704709404</v>
      </c>
      <c r="H13" s="220">
        <f>$A13*INDEX(Data!$F$4:$AZ$106,MATCH('Summary - 2013'!H$1,Data!$F$4:$F$106,0),MATCH('Summary - 2013'!$C13,Data!$F$4:$AZ$4,0))/$B13</f>
        <v>435011.48256100493</v>
      </c>
      <c r="I13" s="221">
        <f>$A13*INDEX(Data!$F$4:$AZ$106,MATCH('Summary - 2013'!I$1,Data!$F$4:$F$106,0),MATCH('Summary - 2013'!$C13,Data!$F$4:$AZ$4,0))/$B13</f>
        <v>313862.014043</v>
      </c>
      <c r="J13" s="222">
        <f>$A13*INDEX(Data!$F$4:$AZ$106,MATCH('Summary - 2013'!J$1,Data!$F$4:$F$106,0),MATCH('Summary - 2013'!$C13,Data!$F$4:$AZ$4,0))/$B13</f>
        <v>49556784.210087873</v>
      </c>
      <c r="K13" s="220">
        <f>$A13*INDEX(Data!$F$4:$AZ$106,MATCH('Summary - 2013'!K$1,Data!$F$4:$F$106,0),MATCH('Summary - 2013'!$C13,Data!$F$4:$AZ$4,0))/$B13</f>
        <v>4181078.2609963547</v>
      </c>
      <c r="L13" s="223">
        <f>$A13*INDEX(Data!$F$4:$AZ$106,MATCH('Summary - 2013'!L$1,Data!$F$4:$F$106,0),MATCH('Summary - 2013'!$C13,Data!$F$4:$AZ$4,0))/$B13</f>
        <v>189229.79399329654</v>
      </c>
      <c r="M13" s="222">
        <f>$A13*INDEX(Data!$F$4:$AZ$106,MATCH('Summary - 2013'!M$1,Data!$F$4:$F$106,0),MATCH('Summary - 2013'!$C13,Data!$F$4:$AZ$4,0))/$B13</f>
        <v>39104387</v>
      </c>
      <c r="N13" s="220">
        <f>$A13*INDEX(Data!$F$4:$AZ$106,MATCH('Summary - 2013'!N$1,Data!$F$4:$F$106,0),MATCH('Summary - 2013'!$C13,Data!$F$4:$AZ$4,0))/$B13</f>
        <v>185202.85773930623</v>
      </c>
      <c r="O13" s="223">
        <f>$A13*INDEX(Data!$F$4:$AZ$106,MATCH('Summary - 2013'!O$1,Data!$F$4:$F$106,0),MATCH('Summary - 2013'!$C13,Data!$F$4:$AZ$4,0))/$B13</f>
        <v>20589.658828881795</v>
      </c>
      <c r="P13" s="222">
        <f>$A13*INDEX(Data!$F$4:$AZ$106,MATCH('Summary - 2013'!P$1,Data!$F$4:$F$106,0),MATCH('Summary - 2013'!$C13,Data!$F$4:$AZ$4,0))/$B13</f>
        <v>876694.95532243676</v>
      </c>
      <c r="Q13" s="223">
        <f>$A13*INDEX(Data!$F$4:$AZ$106,MATCH('Summary - 2013'!Q$1,Data!$F$4:$F$106,0),MATCH('Summary - 2013'!$C13,Data!$F$4:$AZ$4,0))/$B13</f>
        <v>584177.37924670591</v>
      </c>
    </row>
    <row r="14" spans="1:17" ht="30" customHeight="1" x14ac:dyDescent="0.25">
      <c r="A14" s="514">
        <f>HLOOKUP(C14,Data!$4:$11,7,0)</f>
        <v>1</v>
      </c>
      <c r="B14" s="514">
        <f>IF(HLOOKUP(C14,Data!$4:$11,8,0)=1,1000000,IF(HLOOKUP(C14,Data!$4:$11,8,0)=1000000,1,HLOOKUP(C14,Data!$4:$11,8,0)))</f>
        <v>1</v>
      </c>
      <c r="C14" s="514" t="str">
        <f>+VLOOKUP(E14,'aux - sample'!$A$3:$B$38,2,FALSE)</f>
        <v>FR_BPC</v>
      </c>
      <c r="E14" s="205" t="s">
        <v>292</v>
      </c>
      <c r="F14" s="218">
        <f>$A14*INDEX(Data!$F$4:$AZ$106,MATCH('Summary - 2013'!F$1,Data!$F$4:$F$106,0),MATCH('Summary - 2013'!$C14,Data!$F$4:$AZ$4,0))/$B14</f>
        <v>1235027</v>
      </c>
      <c r="G14" s="219">
        <f>$A14*INDEX(Data!$F$4:$AZ$106,MATCH('Summary - 2013'!G$1,Data!$F$4:$F$106,0),MATCH('Summary - 2013'!$C14,Data!$F$4:$AZ$4,0))/$B14</f>
        <v>106016</v>
      </c>
      <c r="H14" s="220">
        <f>$A14*INDEX(Data!$F$4:$AZ$106,MATCH('Summary - 2013'!H$1,Data!$F$4:$F$106,0),MATCH('Summary - 2013'!$C14,Data!$F$4:$AZ$4,0))/$B14</f>
        <v>161284</v>
      </c>
      <c r="I14" s="221">
        <f>$A14*INDEX(Data!$F$4:$AZ$106,MATCH('Summary - 2013'!I$1,Data!$F$4:$F$106,0),MATCH('Summary - 2013'!$C14,Data!$F$4:$AZ$4,0))/$B14</f>
        <v>261906</v>
      </c>
      <c r="J14" s="222">
        <f>$A14*INDEX(Data!$F$4:$AZ$106,MATCH('Summary - 2013'!J$1,Data!$F$4:$F$106,0),MATCH('Summary - 2013'!$C14,Data!$F$4:$AZ$4,0))/$B14</f>
        <v>24395138.554522105</v>
      </c>
      <c r="K14" s="220">
        <f>$A14*INDEX(Data!$F$4:$AZ$106,MATCH('Summary - 2013'!K$1,Data!$F$4:$F$106,0),MATCH('Summary - 2013'!$C14,Data!$F$4:$AZ$4,0))/$B14</f>
        <v>80900</v>
      </c>
      <c r="L14" s="223">
        <f>$A14*INDEX(Data!$F$4:$AZ$106,MATCH('Summary - 2013'!L$1,Data!$F$4:$F$106,0),MATCH('Summary - 2013'!$C14,Data!$F$4:$AZ$4,0))/$B14</f>
        <v>48513</v>
      </c>
      <c r="M14" s="222">
        <f>$A14*INDEX(Data!$F$4:$AZ$106,MATCH('Summary - 2013'!M$1,Data!$F$4:$F$106,0),MATCH('Summary - 2013'!$C14,Data!$F$4:$AZ$4,0))/$B14</f>
        <v>10521128</v>
      </c>
      <c r="N14" s="220">
        <f>$A14*INDEX(Data!$F$4:$AZ$106,MATCH('Summary - 2013'!N$1,Data!$F$4:$F$106,0),MATCH('Summary - 2013'!$C14,Data!$F$4:$AZ$4,0))/$B14</f>
        <v>6329</v>
      </c>
      <c r="O14" s="223">
        <f>$A14*INDEX(Data!$F$4:$AZ$106,MATCH('Summary - 2013'!O$1,Data!$F$4:$F$106,0),MATCH('Summary - 2013'!$C14,Data!$F$4:$AZ$4,0))/$B14</f>
        <v>14959</v>
      </c>
      <c r="P14" s="222">
        <f>$A14*INDEX(Data!$F$4:$AZ$106,MATCH('Summary - 2013'!P$1,Data!$F$4:$F$106,0),MATCH('Summary - 2013'!$C14,Data!$F$4:$AZ$4,0))/$B14</f>
        <v>236908</v>
      </c>
      <c r="Q14" s="223">
        <f>$A14*INDEX(Data!$F$4:$AZ$106,MATCH('Summary - 2013'!Q$1,Data!$F$4:$F$106,0),MATCH('Summary - 2013'!$C14,Data!$F$4:$AZ$4,0))/$B14</f>
        <v>57925</v>
      </c>
    </row>
    <row r="15" spans="1:17" ht="30" customHeight="1" x14ac:dyDescent="0.25">
      <c r="A15" s="514">
        <f>HLOOKUP(C15,Data!$4:$11,7,0)</f>
        <v>1</v>
      </c>
      <c r="B15" s="514">
        <f>IF(HLOOKUP(C15,Data!$4:$11,8,0)=1,1000000,IF(HLOOKUP(C15,Data!$4:$11,8,0)=1000000,1,HLOOKUP(C15,Data!$4:$11,8,0)))</f>
        <v>1</v>
      </c>
      <c r="C15" s="514" t="str">
        <f>+VLOOKUP(E15,'aux - sample'!$A$3:$B$38,2,FALSE)</f>
        <v>DE_COM</v>
      </c>
      <c r="E15" s="205" t="s">
        <v>539</v>
      </c>
      <c r="F15" s="218">
        <f>$A15*INDEX(Data!$F$4:$AZ$106,MATCH('Summary - 2013'!F$1,Data!$F$4:$F$106,0),MATCH('Summary - 2013'!$C15,Data!$F$4:$AZ$4,0))/$B15</f>
        <v>686192</v>
      </c>
      <c r="G15" s="219">
        <f>$A15*INDEX(Data!$F$4:$AZ$106,MATCH('Summary - 2013'!G$1,Data!$F$4:$F$106,0),MATCH('Summary - 2013'!$C15,Data!$F$4:$AZ$4,0))/$B15</f>
        <v>196056</v>
      </c>
      <c r="H15" s="220">
        <f>$A15*INDEX(Data!$F$4:$AZ$106,MATCH('Summary - 2013'!H$1,Data!$F$4:$F$106,0),MATCH('Summary - 2013'!$C15,Data!$F$4:$AZ$4,0))/$B15</f>
        <v>198439</v>
      </c>
      <c r="I15" s="221">
        <f>$A15*INDEX(Data!$F$4:$AZ$106,MATCH('Summary - 2013'!I$1,Data!$F$4:$F$106,0),MATCH('Summary - 2013'!$C15,Data!$F$4:$AZ$4,0))/$B15</f>
        <v>96284</v>
      </c>
      <c r="J15" s="222">
        <f>$A15*INDEX(Data!$F$4:$AZ$106,MATCH('Summary - 2013'!J$1,Data!$F$4:$F$106,0),MATCH('Summary - 2013'!$C15,Data!$F$4:$AZ$4,0))/$B15</f>
        <v>27556575.86131496</v>
      </c>
      <c r="K15" s="220">
        <f>$A15*INDEX(Data!$F$4:$AZ$106,MATCH('Summary - 2013'!K$1,Data!$F$4:$F$106,0),MATCH('Summary - 2013'!$C15,Data!$F$4:$AZ$4,0))/$B15</f>
        <v>192435.52185709</v>
      </c>
      <c r="L15" s="223">
        <f>$A15*INDEX(Data!$F$4:$AZ$106,MATCH('Summary - 2013'!L$1,Data!$F$4:$F$106,0),MATCH('Summary - 2013'!$C15,Data!$F$4:$AZ$4,0))/$B15</f>
        <v>25429</v>
      </c>
      <c r="M15" s="222">
        <f>$A15*INDEX(Data!$F$4:$AZ$106,MATCH('Summary - 2013'!M$1,Data!$F$4:$F$106,0),MATCH('Summary - 2013'!$C15,Data!$F$4:$AZ$4,0))/$B15</f>
        <v>7294752</v>
      </c>
      <c r="N15" s="220">
        <f>$A15*INDEX(Data!$F$4:$AZ$106,MATCH('Summary - 2013'!N$1,Data!$F$4:$F$106,0),MATCH('Summary - 2013'!$C15,Data!$F$4:$AZ$4,0))/$B15</f>
        <v>48706</v>
      </c>
      <c r="O15" s="223">
        <f>$A15*INDEX(Data!$F$4:$AZ$106,MATCH('Summary - 2013'!O$1,Data!$F$4:$F$106,0),MATCH('Summary - 2013'!$C15,Data!$F$4:$AZ$4,0))/$B15</f>
        <v>2182</v>
      </c>
      <c r="P15" s="222">
        <f>$A15*INDEX(Data!$F$4:$AZ$106,MATCH('Summary - 2013'!P$1,Data!$F$4:$F$106,0),MATCH('Summary - 2013'!$C15,Data!$F$4:$AZ$4,0))/$B15</f>
        <v>260690</v>
      </c>
      <c r="Q15" s="223">
        <f>$A15*INDEX(Data!$F$4:$AZ$106,MATCH('Summary - 2013'!Q$1,Data!$F$4:$F$106,0),MATCH('Summary - 2013'!$C15,Data!$F$4:$AZ$4,0))/$B15</f>
        <v>133954</v>
      </c>
    </row>
    <row r="16" spans="1:17" ht="30" customHeight="1" x14ac:dyDescent="0.25">
      <c r="A16" s="514">
        <f>HLOOKUP(C16,Data!$4:$11,7,0)</f>
        <v>1</v>
      </c>
      <c r="B16" s="514">
        <f>IF(HLOOKUP(C16,Data!$4:$11,8,0)=1,1000000,IF(HLOOKUP(C16,Data!$4:$11,8,0)=1000000,1,HLOOKUP(C16,Data!$4:$11,8,0)))</f>
        <v>1</v>
      </c>
      <c r="C16" s="514" t="str">
        <f>+VLOOKUP(E16,'aux - sample'!$A$3:$B$38,2,FALSE)</f>
        <v>FR_CAG</v>
      </c>
      <c r="E16" s="205" t="s">
        <v>360</v>
      </c>
      <c r="F16" s="218">
        <f>$A16*INDEX(Data!$F$4:$AZ$106,MATCH('Summary - 2013'!F$1,Data!$F$4:$F$106,0),MATCH('Summary - 2013'!$C16,Data!$F$4:$AZ$4,0))/$B16</f>
        <v>1746395</v>
      </c>
      <c r="G16" s="219">
        <f>$A16*INDEX(Data!$F$4:$AZ$106,MATCH('Summary - 2013'!G$1,Data!$F$4:$F$106,0),MATCH('Summary - 2013'!$C16,Data!$F$4:$AZ$4,0))/$B16</f>
        <v>163301</v>
      </c>
      <c r="H16" s="220">
        <f>$A16*INDEX(Data!$F$4:$AZ$106,MATCH('Summary - 2013'!H$1,Data!$F$4:$F$106,0),MATCH('Summary - 2013'!$C16,Data!$F$4:$AZ$4,0))/$B16</f>
        <v>286461.48778469954</v>
      </c>
      <c r="I16" s="221">
        <f>$A16*INDEX(Data!$F$4:$AZ$106,MATCH('Summary - 2013'!I$1,Data!$F$4:$F$106,0),MATCH('Summary - 2013'!$C16,Data!$F$4:$AZ$4,0))/$B16</f>
        <v>250135</v>
      </c>
      <c r="J16" s="222">
        <f>$A16*INDEX(Data!$F$4:$AZ$106,MATCH('Summary - 2013'!J$1,Data!$F$4:$F$106,0),MATCH('Summary - 2013'!$C16,Data!$F$4:$AZ$4,0))/$B16</f>
        <v>20175277</v>
      </c>
      <c r="K16" s="220">
        <f>$A16*INDEX(Data!$F$4:$AZ$106,MATCH('Summary - 2013'!K$1,Data!$F$4:$F$106,0),MATCH('Summary - 2013'!$C16,Data!$F$4:$AZ$4,0))/$B16</f>
        <v>2254000</v>
      </c>
      <c r="L16" s="223">
        <f>$A16*INDEX(Data!$F$4:$AZ$106,MATCH('Summary - 2013'!L$1,Data!$F$4:$F$106,0),MATCH('Summary - 2013'!$C16,Data!$F$4:$AZ$4,0))/$B16</f>
        <v>65360</v>
      </c>
      <c r="M16" s="222">
        <f>$A16*INDEX(Data!$F$4:$AZ$106,MATCH('Summary - 2013'!M$1,Data!$F$4:$F$106,0),MATCH('Summary - 2013'!$C16,Data!$F$4:$AZ$4,0))/$B16</f>
        <v>13817621</v>
      </c>
      <c r="N16" s="220">
        <f>$A16*INDEX(Data!$F$4:$AZ$106,MATCH('Summary - 2013'!N$1,Data!$F$4:$F$106,0),MATCH('Summary - 2013'!$C16,Data!$F$4:$AZ$4,0))/$B16</f>
        <v>62091</v>
      </c>
      <c r="O16" s="223">
        <f>$A16*INDEX(Data!$F$4:$AZ$106,MATCH('Summary - 2013'!O$1,Data!$F$4:$F$106,0),MATCH('Summary - 2013'!$C16,Data!$F$4:$AZ$4,0))/$B16</f>
        <v>7462</v>
      </c>
      <c r="P16" s="222">
        <f>$A16*INDEX(Data!$F$4:$AZ$106,MATCH('Summary - 2013'!P$1,Data!$F$4:$F$106,0),MATCH('Summary - 2013'!$C16,Data!$F$4:$AZ$4,0))/$B16</f>
        <v>355550</v>
      </c>
      <c r="Q16" s="223">
        <f>$A16*INDEX(Data!$F$4:$AZ$106,MATCH('Summary - 2013'!Q$1,Data!$F$4:$F$106,0),MATCH('Summary - 2013'!$C16,Data!$F$4:$AZ$4,0))/$B16</f>
        <v>305124</v>
      </c>
    </row>
    <row r="17" spans="1:17" ht="30" customHeight="1" x14ac:dyDescent="0.25">
      <c r="A17" s="514">
        <f>HLOOKUP(C17,Data!$4:$11,7,0)</f>
        <v>1</v>
      </c>
      <c r="B17" s="514">
        <f>IF(HLOOKUP(C17,Data!$4:$11,8,0)=1,1000000,IF(HLOOKUP(C17,Data!$4:$11,8,0)=1000000,1,HLOOKUP(C17,Data!$4:$11,8,0)))</f>
        <v>1000</v>
      </c>
      <c r="C17" s="514" t="str">
        <f>+VLOOKUP(E17,'aux - sample'!$A$3:$B$38,2,FALSE)</f>
        <v>FR_CMU</v>
      </c>
      <c r="E17" s="205" t="s">
        <v>361</v>
      </c>
      <c r="F17" s="218">
        <f>$A17*INDEX(Data!$F$4:$AZ$106,MATCH('Summary - 2013'!F$1,Data!$F$4:$F$106,0),MATCH('Summary - 2013'!$C17,Data!$F$4:$AZ$4,0))/$B17</f>
        <v>635772.76807416882</v>
      </c>
      <c r="G17" s="219">
        <f>$A17*INDEX(Data!$F$4:$AZ$106,MATCH('Summary - 2013'!G$1,Data!$F$4:$F$106,0),MATCH('Summary - 2013'!$C17,Data!$F$4:$AZ$4,0))/$B17</f>
        <v>53684.815587175472</v>
      </c>
      <c r="H17" s="220">
        <f>$A17*INDEX(Data!$F$4:$AZ$106,MATCH('Summary - 2013'!H$1,Data!$F$4:$F$106,0),MATCH('Summary - 2013'!$C17,Data!$F$4:$AZ$4,0))/$B17</f>
        <v>45729.347452645066</v>
      </c>
      <c r="I17" s="221">
        <f>$A17*INDEX(Data!$F$4:$AZ$106,MATCH('Summary - 2013'!I$1,Data!$F$4:$F$106,0),MATCH('Summary - 2013'!$C17,Data!$F$4:$AZ$4,0))/$B17</f>
        <v>136575.71214132893</v>
      </c>
      <c r="J17" s="222">
        <f>$A17*INDEX(Data!$F$4:$AZ$106,MATCH('Summary - 2013'!J$1,Data!$F$4:$F$106,0),MATCH('Summary - 2013'!$C17,Data!$F$4:$AZ$4,0))/$B17</f>
        <v>5347472.2594455341</v>
      </c>
      <c r="K17" s="220">
        <f>$A17*INDEX(Data!$F$4:$AZ$106,MATCH('Summary - 2013'!K$1,Data!$F$4:$F$106,0),MATCH('Summary - 2013'!$C17,Data!$F$4:$AZ$4,0))/$B17</f>
        <v>269863</v>
      </c>
      <c r="L17" s="223">
        <f>$A17*INDEX(Data!$F$4:$AZ$106,MATCH('Summary - 2013'!L$1,Data!$F$4:$F$106,0),MATCH('Summary - 2013'!$C17,Data!$F$4:$AZ$4,0))/$B17</f>
        <v>1120</v>
      </c>
      <c r="M17" s="222">
        <f>$A17*INDEX(Data!$F$4:$AZ$106,MATCH('Summary - 2013'!M$1,Data!$F$4:$F$106,0),MATCH('Summary - 2013'!$C17,Data!$F$4:$AZ$4,0))/$B17</f>
        <v>658495.66599999997</v>
      </c>
      <c r="N17" s="220">
        <f>$A17*INDEX(Data!$F$4:$AZ$106,MATCH('Summary - 2013'!N$1,Data!$F$4:$F$106,0),MATCH('Summary - 2013'!$C17,Data!$F$4:$AZ$4,0))/$B17</f>
        <v>26867.194998852847</v>
      </c>
      <c r="O17" s="223">
        <f>$A17*INDEX(Data!$F$4:$AZ$106,MATCH('Summary - 2013'!O$1,Data!$F$4:$F$106,0),MATCH('Summary - 2013'!$C17,Data!$F$4:$AZ$4,0))/$B17</f>
        <v>4018.5768258253988</v>
      </c>
      <c r="P17" s="222">
        <f>$A17*INDEX(Data!$F$4:$AZ$106,MATCH('Summary - 2013'!P$1,Data!$F$4:$F$106,0),MATCH('Summary - 2013'!$C17,Data!$F$4:$AZ$4,0))/$B17</f>
        <v>75917.623430000007</v>
      </c>
      <c r="Q17" s="223">
        <f>$A17*INDEX(Data!$F$4:$AZ$106,MATCH('Summary - 2013'!Q$1,Data!$F$4:$F$106,0),MATCH('Summary - 2013'!$C17,Data!$F$4:$AZ$4,0))/$B17</f>
        <v>42869.132821849191</v>
      </c>
    </row>
    <row r="18" spans="1:17" ht="30" customHeight="1" x14ac:dyDescent="0.25">
      <c r="A18" s="514">
        <f>HLOOKUP(C18,Data!$4:$11,7,0)</f>
        <v>0.13406083699999999</v>
      </c>
      <c r="B18" s="514">
        <f>IF(HLOOKUP(C18,Data!$4:$11,8,0)=1,1000000,IF(HLOOKUP(C18,Data!$4:$11,8,0)=1000000,1,HLOOKUP(C18,Data!$4:$11,8,0)))</f>
        <v>1</v>
      </c>
      <c r="C18" s="514" t="str">
        <f>+VLOOKUP(E18,'aux - sample'!$A$3:$B$38,2,FALSE)</f>
        <v>DK_DAN</v>
      </c>
      <c r="E18" s="205" t="s">
        <v>365</v>
      </c>
      <c r="F18" s="218">
        <f>$A18*INDEX(Data!$F$4:$AZ$106,MATCH('Summary - 2013'!F$1,Data!$F$4:$F$106,0),MATCH('Summary - 2013'!$C18,Data!$F$4:$AZ$4,0))/$B18</f>
        <v>474469.65387711767</v>
      </c>
      <c r="G18" s="219">
        <f>$A18*INDEX(Data!$F$4:$AZ$106,MATCH('Summary - 2013'!G$1,Data!$F$4:$F$106,0),MATCH('Summary - 2013'!$C18,Data!$F$4:$AZ$4,0))/$B18</f>
        <v>74132.967071550083</v>
      </c>
      <c r="H18" s="220">
        <f>$A18*INDEX(Data!$F$4:$AZ$106,MATCH('Summary - 2013'!H$1,Data!$F$4:$F$106,0),MATCH('Summary - 2013'!$C18,Data!$F$4:$AZ$4,0))/$B18</f>
        <v>16520.022009668595</v>
      </c>
      <c r="I18" s="221">
        <f>$A18*INDEX(Data!$F$4:$AZ$106,MATCH('Summary - 2013'!I$1,Data!$F$4:$F$106,0),MATCH('Summary - 2013'!$C18,Data!$F$4:$AZ$4,0))/$B18</f>
        <v>154333.38826670908</v>
      </c>
      <c r="J18" s="222">
        <f>$A18*INDEX(Data!$F$4:$AZ$106,MATCH('Summary - 2013'!J$1,Data!$F$4:$F$106,0),MATCH('Summary - 2013'!$C18,Data!$F$4:$AZ$4,0))/$B18</f>
        <v>290406.17210109666</v>
      </c>
      <c r="K18" s="220">
        <f>$A18*INDEX(Data!$F$4:$AZ$106,MATCH('Summary - 2013'!K$1,Data!$F$4:$F$106,0),MATCH('Summary - 2013'!$C18,Data!$F$4:$AZ$4,0))/$B18</f>
        <v>78650.141546974992</v>
      </c>
      <c r="L18" s="223">
        <f>$A18*INDEX(Data!$F$4:$AZ$106,MATCH('Summary - 2013'!L$1,Data!$F$4:$F$106,0),MATCH('Summary - 2013'!$C18,Data!$F$4:$AZ$4,0))/$B18</f>
        <v>99419.983293695972</v>
      </c>
      <c r="M18" s="222">
        <f>$A18*INDEX(Data!$F$4:$AZ$106,MATCH('Summary - 2013'!M$1,Data!$F$4:$F$106,0),MATCH('Summary - 2013'!$C18,Data!$F$4:$AZ$4,0))/$B18</f>
        <v>6332416.5897256145</v>
      </c>
      <c r="N18" s="220">
        <f>$A18*INDEX(Data!$F$4:$AZ$106,MATCH('Summary - 2013'!N$1,Data!$F$4:$F$106,0),MATCH('Summary - 2013'!$C18,Data!$F$4:$AZ$4,0))/$B18</f>
        <v>5332.5379133489996</v>
      </c>
      <c r="O18" s="223">
        <f>$A18*INDEX(Data!$F$4:$AZ$106,MATCH('Summary - 2013'!O$1,Data!$F$4:$F$106,0),MATCH('Summary - 2013'!$C18,Data!$F$4:$AZ$4,0))/$B18</f>
        <v>1775.7698469019999</v>
      </c>
      <c r="P18" s="222">
        <f>$A18*INDEX(Data!$F$4:$AZ$106,MATCH('Summary - 2013'!P$1,Data!$F$4:$F$106,0),MATCH('Summary - 2013'!$C18,Data!$F$4:$AZ$4,0))/$B18</f>
        <v>178818.05288872748</v>
      </c>
      <c r="Q18" s="223">
        <f>$A18*INDEX(Data!$F$4:$AZ$106,MATCH('Summary - 2013'!Q$1,Data!$F$4:$F$106,0),MATCH('Summary - 2013'!$C18,Data!$F$4:$AZ$4,0))/$B18</f>
        <v>281982.44025650178</v>
      </c>
    </row>
    <row r="19" spans="1:17" ht="30" customHeight="1" x14ac:dyDescent="0.25">
      <c r="A19" s="514">
        <f>HLOOKUP(C19,Data!$4:$11,7,0)</f>
        <v>1</v>
      </c>
      <c r="B19" s="514">
        <f>IF(HLOOKUP(C19,Data!$4:$11,8,0)=1,1000000,IF(HLOOKUP(C19,Data!$4:$11,8,0)=1000000,1,HLOOKUP(C19,Data!$4:$11,8,0)))</f>
        <v>1</v>
      </c>
      <c r="C19" s="514" t="str">
        <f>+VLOOKUP(E19,'aux - sample'!$A$3:$B$38,2,FALSE)</f>
        <v>DE_DEB</v>
      </c>
      <c r="E19" s="205" t="s">
        <v>540</v>
      </c>
      <c r="F19" s="218">
        <f>$A19*INDEX(Data!$F$4:$AZ$106,MATCH('Summary - 2013'!F$1,Data!$F$4:$F$106,0),MATCH('Summary - 2013'!$C19,Data!$F$4:$AZ$4,0))/$B19</f>
        <v>1747748.1287083481</v>
      </c>
      <c r="G19" s="219">
        <f>$A19*INDEX(Data!$F$4:$AZ$106,MATCH('Summary - 2013'!G$1,Data!$F$4:$F$106,0),MATCH('Summary - 2013'!$C19,Data!$F$4:$AZ$4,0))/$B19</f>
        <v>303108.21325123595</v>
      </c>
      <c r="H19" s="220">
        <f>$A19*INDEX(Data!$F$4:$AZ$106,MATCH('Summary - 2013'!H$1,Data!$F$4:$F$106,0),MATCH('Summary - 2013'!$C19,Data!$F$4:$AZ$4,0))/$B19</f>
        <v>249661.90138168604</v>
      </c>
      <c r="I19" s="221">
        <f>$A19*INDEX(Data!$F$4:$AZ$106,MATCH('Summary - 2013'!I$1,Data!$F$4:$F$106,0),MATCH('Summary - 2013'!$C19,Data!$F$4:$AZ$4,0))/$B19</f>
        <v>198552.2475152</v>
      </c>
      <c r="J19" s="222">
        <f>$A19*INDEX(Data!$F$4:$AZ$106,MATCH('Summary - 2013'!J$1,Data!$F$4:$F$106,0),MATCH('Summary - 2013'!$C19,Data!$F$4:$AZ$4,0))/$B19</f>
        <v>164892429.8037473</v>
      </c>
      <c r="K19" s="220">
        <f>$A19*INDEX(Data!$F$4:$AZ$106,MATCH('Summary - 2013'!K$1,Data!$F$4:$F$106,0),MATCH('Summary - 2013'!$C19,Data!$F$4:$AZ$4,0))/$B19</f>
        <v>3114659.9517211849</v>
      </c>
      <c r="L19" s="223">
        <f>$A19*INDEX(Data!$F$4:$AZ$106,MATCH('Summary - 2013'!L$1,Data!$F$4:$F$106,0),MATCH('Summary - 2013'!$C19,Data!$F$4:$AZ$4,0))/$B19</f>
        <v>319512</v>
      </c>
      <c r="M19" s="222">
        <f>$A19*INDEX(Data!$F$4:$AZ$106,MATCH('Summary - 2013'!M$1,Data!$F$4:$F$106,0),MATCH('Summary - 2013'!$C19,Data!$F$4:$AZ$4,0))/$B19</f>
        <v>49579006.43731755</v>
      </c>
      <c r="N19" s="220">
        <f>$A19*INDEX(Data!$F$4:$AZ$106,MATCH('Summary - 2013'!N$1,Data!$F$4:$F$106,0),MATCH('Summary - 2013'!$C19,Data!$F$4:$AZ$4,0))/$B19</f>
        <v>130131.50194777998</v>
      </c>
      <c r="O19" s="223">
        <f>$A19*INDEX(Data!$F$4:$AZ$106,MATCH('Summary - 2013'!O$1,Data!$F$4:$F$106,0),MATCH('Summary - 2013'!$C19,Data!$F$4:$AZ$4,0))/$B19</f>
        <v>27383.938968800001</v>
      </c>
      <c r="P19" s="222">
        <f>$A19*INDEX(Data!$F$4:$AZ$106,MATCH('Summary - 2013'!P$1,Data!$F$4:$F$106,0),MATCH('Summary - 2013'!$C19,Data!$F$4:$AZ$4,0))/$B19</f>
        <v>762580.20600000001</v>
      </c>
      <c r="Q19" s="223">
        <f>$A19*INDEX(Data!$F$4:$AZ$106,MATCH('Summary - 2013'!Q$1,Data!$F$4:$F$106,0),MATCH('Summary - 2013'!$C19,Data!$F$4:$AZ$4,0))/$B19</f>
        <v>674204.62699999998</v>
      </c>
    </row>
    <row r="20" spans="1:17" ht="30" customHeight="1" x14ac:dyDescent="0.25">
      <c r="A20" s="514">
        <f>HLOOKUP(C20,Data!$4:$11,7,0)</f>
        <v>0.119574315</v>
      </c>
      <c r="B20" s="514">
        <f>IF(HLOOKUP(C20,Data!$4:$11,8,0)=1,1000000,IF(HLOOKUP(C20,Data!$4:$11,8,0)=1000000,1,HLOOKUP(C20,Data!$4:$11,8,0)))</f>
        <v>1000</v>
      </c>
      <c r="C20" s="514" t="str">
        <f>+VLOOKUP(E20,'aux - sample'!$A$3:$B$38,2,FALSE)</f>
        <v>NO_DNB</v>
      </c>
      <c r="E20" s="205" t="s">
        <v>327</v>
      </c>
      <c r="F20" s="218">
        <f>$A20*INDEX(Data!$F$4:$AZ$106,MATCH('Summary - 2013'!F$1,Data!$F$4:$F$106,0),MATCH('Summary - 2013'!$C20,Data!$F$4:$AZ$4,0))/$B20</f>
        <v>287606.12399665877</v>
      </c>
      <c r="G20" s="219">
        <f>$A20*INDEX(Data!$F$4:$AZ$106,MATCH('Summary - 2013'!G$1,Data!$F$4:$F$106,0),MATCH('Summary - 2013'!$C20,Data!$F$4:$AZ$4,0))/$B20</f>
        <v>39135.691798155611</v>
      </c>
      <c r="H20" s="220">
        <f>$A20*INDEX(Data!$F$4:$AZ$106,MATCH('Summary - 2013'!H$1,Data!$F$4:$F$106,0),MATCH('Summary - 2013'!$C20,Data!$F$4:$AZ$4,0))/$B20</f>
        <v>23018.287850819728</v>
      </c>
      <c r="I20" s="221">
        <f>$A20*INDEX(Data!$F$4:$AZ$106,MATCH('Summary - 2013'!I$1,Data!$F$4:$F$106,0),MATCH('Summary - 2013'!$C20,Data!$F$4:$AZ$4,0))/$B20</f>
        <v>106936.47828103631</v>
      </c>
      <c r="J20" s="222">
        <f>$A20*INDEX(Data!$F$4:$AZ$106,MATCH('Summary - 2013'!J$1,Data!$F$4:$F$106,0),MATCH('Summary - 2013'!$C20,Data!$F$4:$AZ$4,0))/$B20</f>
        <v>13245970.683315551</v>
      </c>
      <c r="K20" s="220">
        <f>$A20*INDEX(Data!$F$4:$AZ$106,MATCH('Summary - 2013'!K$1,Data!$F$4:$F$106,0),MATCH('Summary - 2013'!$C20,Data!$F$4:$AZ$4,0))/$B20</f>
        <v>137390.88793500001</v>
      </c>
      <c r="L20" s="223">
        <f>$A20*INDEX(Data!$F$4:$AZ$106,MATCH('Summary - 2013'!L$1,Data!$F$4:$F$106,0),MATCH('Summary - 2013'!$C20,Data!$F$4:$AZ$4,0))/$B20</f>
        <v>16806.189463863346</v>
      </c>
      <c r="M20" s="222">
        <f>$A20*INDEX(Data!$F$4:$AZ$106,MATCH('Summary - 2013'!M$1,Data!$F$4:$F$106,0),MATCH('Summary - 2013'!$C20,Data!$F$4:$AZ$4,0))/$B20</f>
        <v>714603.71546586941</v>
      </c>
      <c r="N20" s="220">
        <f>$A20*INDEX(Data!$F$4:$AZ$106,MATCH('Summary - 2013'!N$1,Data!$F$4:$F$106,0),MATCH('Summary - 2013'!$C20,Data!$F$4:$AZ$4,0))/$B20</f>
        <v>1766.8684319015363</v>
      </c>
      <c r="O20" s="223">
        <f>$A20*INDEX(Data!$F$4:$AZ$106,MATCH('Summary - 2013'!O$1,Data!$F$4:$F$106,0),MATCH('Summary - 2013'!$C20,Data!$F$4:$AZ$4,0))/$B20</f>
        <v>16024.055502618612</v>
      </c>
      <c r="P20" s="222">
        <f>$A20*INDEX(Data!$F$4:$AZ$106,MATCH('Summary - 2013'!P$1,Data!$F$4:$F$106,0),MATCH('Summary - 2013'!$C20,Data!$F$4:$AZ$4,0))/$B20</f>
        <v>98883.175532399997</v>
      </c>
      <c r="Q20" s="223">
        <f>$A20*INDEX(Data!$F$4:$AZ$106,MATCH('Summary - 2013'!Q$1,Data!$F$4:$F$106,0),MATCH('Summary - 2013'!$C20,Data!$F$4:$AZ$4,0))/$B20</f>
        <v>88838.904494138711</v>
      </c>
    </row>
    <row r="21" spans="1:17" ht="30" customHeight="1" x14ac:dyDescent="0.25">
      <c r="A21" s="514">
        <f>HLOOKUP(C21,Data!$4:$11,7,0)</f>
        <v>1</v>
      </c>
      <c r="B21" s="514">
        <f>IF(HLOOKUP(C21,Data!$4:$11,8,0)=1,1000000,IF(HLOOKUP(C21,Data!$4:$11,8,0)=1000000,1,HLOOKUP(C21,Data!$4:$11,8,0)))</f>
        <v>1000</v>
      </c>
      <c r="C21" s="514" t="str">
        <f>+VLOOKUP(E21,'aux - sample'!$A$3:$B$38,2,FALSE)</f>
        <v>DE_DZB</v>
      </c>
      <c r="E21" s="205" t="s">
        <v>541</v>
      </c>
      <c r="F21" s="218">
        <f>$A21*INDEX(Data!$F$4:$AZ$106,MATCH('Summary - 2013'!F$1,Data!$F$4:$F$106,0),MATCH('Summary - 2013'!$C21,Data!$F$4:$AZ$4,0))/$B21</f>
        <v>335983.80239999999</v>
      </c>
      <c r="G21" s="219">
        <f>$A21*INDEX(Data!$F$4:$AZ$106,MATCH('Summary - 2013'!G$1,Data!$F$4:$F$106,0),MATCH('Summary - 2013'!$C21,Data!$F$4:$AZ$4,0))/$B21</f>
        <v>140782.09414082678</v>
      </c>
      <c r="H21" s="220">
        <f>$A21*INDEX(Data!$F$4:$AZ$106,MATCH('Summary - 2013'!H$1,Data!$F$4:$F$106,0),MATCH('Summary - 2013'!$C21,Data!$F$4:$AZ$4,0))/$B21</f>
        <v>123554.42801095558</v>
      </c>
      <c r="I21" s="221">
        <f>$A21*INDEX(Data!$F$4:$AZ$106,MATCH('Summary - 2013'!I$1,Data!$F$4:$F$106,0),MATCH('Summary - 2013'!$C21,Data!$F$4:$AZ$4,0))/$B21</f>
        <v>61761.766000000003</v>
      </c>
      <c r="J21" s="222">
        <f>$A21*INDEX(Data!$F$4:$AZ$106,MATCH('Summary - 2013'!J$1,Data!$F$4:$F$106,0),MATCH('Summary - 2013'!$C21,Data!$F$4:$AZ$4,0))/$B21</f>
        <v>4100120.248890148</v>
      </c>
      <c r="K21" s="220">
        <f>$A21*INDEX(Data!$F$4:$AZ$106,MATCH('Summary - 2013'!K$1,Data!$F$4:$F$106,0),MATCH('Summary - 2013'!$C21,Data!$F$4:$AZ$4,0))/$B21</f>
        <v>525145.299</v>
      </c>
      <c r="L21" s="223">
        <f>$A21*INDEX(Data!$F$4:$AZ$106,MATCH('Summary - 2013'!L$1,Data!$F$4:$F$106,0),MATCH('Summary - 2013'!$C21,Data!$F$4:$AZ$4,0))/$B21</f>
        <v>17146.5</v>
      </c>
      <c r="M21" s="222">
        <f>$A21*INDEX(Data!$F$4:$AZ$106,MATCH('Summary - 2013'!M$1,Data!$F$4:$F$106,0),MATCH('Summary - 2013'!$C21,Data!$F$4:$AZ$4,0))/$B21</f>
        <v>970581.68599999999</v>
      </c>
      <c r="N21" s="220">
        <f>$A21*INDEX(Data!$F$4:$AZ$106,MATCH('Summary - 2013'!N$1,Data!$F$4:$F$106,0),MATCH('Summary - 2013'!$C21,Data!$F$4:$AZ$4,0))/$B21</f>
        <v>19369.70681619101</v>
      </c>
      <c r="O21" s="223">
        <f>$A21*INDEX(Data!$F$4:$AZ$106,MATCH('Summary - 2013'!O$1,Data!$F$4:$F$106,0),MATCH('Summary - 2013'!$C21,Data!$F$4:$AZ$4,0))/$B21</f>
        <v>3120</v>
      </c>
      <c r="P21" s="222">
        <f>$A21*INDEX(Data!$F$4:$AZ$106,MATCH('Summary - 2013'!P$1,Data!$F$4:$F$106,0),MATCH('Summary - 2013'!$C21,Data!$F$4:$AZ$4,0))/$B21</f>
        <v>80159.858999999997</v>
      </c>
      <c r="Q21" s="223">
        <f>$A21*INDEX(Data!$F$4:$AZ$106,MATCH('Summary - 2013'!Q$1,Data!$F$4:$F$106,0),MATCH('Summary - 2013'!$C21,Data!$F$4:$AZ$4,0))/$B21</f>
        <v>48387.758999999998</v>
      </c>
    </row>
    <row r="22" spans="1:17" ht="30" customHeight="1" x14ac:dyDescent="0.25">
      <c r="A22" s="514">
        <f>HLOOKUP(C22,Data!$4:$11,7,0)</f>
        <v>1</v>
      </c>
      <c r="B22" s="514">
        <f>IF(HLOOKUP(C22,Data!$4:$11,8,0)=1,1000000,IF(HLOOKUP(C22,Data!$4:$11,8,0)=1000000,1,HLOOKUP(C22,Data!$4:$11,8,0)))</f>
        <v>1</v>
      </c>
      <c r="C22" s="514" t="str">
        <f>+VLOOKUP(E22,'aux - sample'!$A$3:$B$38,2,FALSE)</f>
        <v>AT_ERS</v>
      </c>
      <c r="E22" s="205" t="s">
        <v>288</v>
      </c>
      <c r="F22" s="218">
        <f>$A22*INDEX(Data!$F$4:$AZ$106,MATCH('Summary - 2013'!F$1,Data!$F$4:$F$106,0),MATCH('Summary - 2013'!$C22,Data!$F$4:$AZ$4,0))/$B22</f>
        <v>230991.54858738001</v>
      </c>
      <c r="G22" s="219">
        <f>$A22*INDEX(Data!$F$4:$AZ$106,MATCH('Summary - 2013'!G$1,Data!$F$4:$F$106,0),MATCH('Summary - 2013'!$C22,Data!$F$4:$AZ$4,0))/$B22</f>
        <v>21076.853616384982</v>
      </c>
      <c r="H22" s="220">
        <f>$A22*INDEX(Data!$F$4:$AZ$106,MATCH('Summary - 2013'!H$1,Data!$F$4:$F$106,0),MATCH('Summary - 2013'!$C22,Data!$F$4:$AZ$4,0))/$B22</f>
        <v>23856.930433701578</v>
      </c>
      <c r="I22" s="221">
        <f>$A22*INDEX(Data!$F$4:$AZ$106,MATCH('Summary - 2013'!I$1,Data!$F$4:$F$106,0),MATCH('Summary - 2013'!$C22,Data!$F$4:$AZ$4,0))/$B22</f>
        <v>43739.284774350002</v>
      </c>
      <c r="J22" s="222">
        <f>$A22*INDEX(Data!$F$4:$AZ$106,MATCH('Summary - 2013'!J$1,Data!$F$4:$F$106,0),MATCH('Summary - 2013'!$C22,Data!$F$4:$AZ$4,0))/$B22</f>
        <v>5888810.952071025</v>
      </c>
      <c r="K22" s="220">
        <f>$A22*INDEX(Data!$F$4:$AZ$106,MATCH('Summary - 2013'!K$1,Data!$F$4:$F$106,0),MATCH('Summary - 2013'!$C22,Data!$F$4:$AZ$4,0))/$B22</f>
        <v>214340</v>
      </c>
      <c r="L22" s="223">
        <f>$A22*INDEX(Data!$F$4:$AZ$106,MATCH('Summary - 2013'!L$1,Data!$F$4:$F$106,0),MATCH('Summary - 2013'!$C22,Data!$F$4:$AZ$4,0))/$B22</f>
        <v>69</v>
      </c>
      <c r="M22" s="222">
        <f>$A22*INDEX(Data!$F$4:$AZ$106,MATCH('Summary - 2013'!M$1,Data!$F$4:$F$106,0),MATCH('Summary - 2013'!$C22,Data!$F$4:$AZ$4,0))/$B22</f>
        <v>259861</v>
      </c>
      <c r="N22" s="220">
        <f>$A22*INDEX(Data!$F$4:$AZ$106,MATCH('Summary - 2013'!N$1,Data!$F$4:$F$106,0),MATCH('Summary - 2013'!$C22,Data!$F$4:$AZ$4,0))/$B22</f>
        <v>10311.244741449998</v>
      </c>
      <c r="O22" s="223">
        <f>$A22*INDEX(Data!$F$4:$AZ$106,MATCH('Summary - 2013'!O$1,Data!$F$4:$F$106,0),MATCH('Summary - 2013'!$C22,Data!$F$4:$AZ$4,0))/$B22</f>
        <v>331</v>
      </c>
      <c r="P22" s="222">
        <f>$A22*INDEX(Data!$F$4:$AZ$106,MATCH('Summary - 2013'!P$1,Data!$F$4:$F$106,0),MATCH('Summary - 2013'!$C22,Data!$F$4:$AZ$4,0))/$B22</f>
        <v>105063.302</v>
      </c>
      <c r="Q22" s="223">
        <f>$A22*INDEX(Data!$F$4:$AZ$106,MATCH('Summary - 2013'!Q$1,Data!$F$4:$F$106,0),MATCH('Summary - 2013'!$C22,Data!$F$4:$AZ$4,0))/$B22</f>
        <v>94755.839000000007</v>
      </c>
    </row>
    <row r="23" spans="1:17" ht="30" customHeight="1" x14ac:dyDescent="0.25">
      <c r="A23" s="514">
        <f>HLOOKUP(C23,Data!$4:$11,7,0)</f>
        <v>0.112878283</v>
      </c>
      <c r="B23" s="514">
        <f>IF(HLOOKUP(C23,Data!$4:$11,8,0)=1,1000000,IF(HLOOKUP(C23,Data!$4:$11,8,0)=1000000,1,HLOOKUP(C23,Data!$4:$11,8,0)))</f>
        <v>1000</v>
      </c>
      <c r="C23" s="514" t="str">
        <f>+VLOOKUP(E23,'aux - sample'!$A$3:$B$38,2,FALSE)</f>
        <v>SE_HAN</v>
      </c>
      <c r="E23" s="205" t="s">
        <v>283</v>
      </c>
      <c r="F23" s="218">
        <f>$A23*INDEX(Data!$F$4:$AZ$106,MATCH('Summary - 2013'!F$1,Data!$F$4:$F$106,0),MATCH('Summary - 2013'!$C23,Data!$F$4:$AZ$4,0))/$B23</f>
        <v>323792.993369648</v>
      </c>
      <c r="G23" s="219">
        <f>$A23*INDEX(Data!$F$4:$AZ$106,MATCH('Summary - 2013'!G$1,Data!$F$4:$F$106,0),MATCH('Summary - 2013'!$C23,Data!$F$4:$AZ$4,0))/$B23</f>
        <v>24899.051346381693</v>
      </c>
      <c r="H23" s="220">
        <f>$A23*INDEX(Data!$F$4:$AZ$106,MATCH('Summary - 2013'!H$1,Data!$F$4:$F$106,0),MATCH('Summary - 2013'!$C23,Data!$F$4:$AZ$4,0))/$B23</f>
        <v>30298.211914833872</v>
      </c>
      <c r="I23" s="221">
        <f>$A23*INDEX(Data!$F$4:$AZ$106,MATCH('Summary - 2013'!I$1,Data!$F$4:$F$106,0),MATCH('Summary - 2013'!$C23,Data!$F$4:$AZ$4,0))/$B23</f>
        <v>154338.43311351762</v>
      </c>
      <c r="J23" s="222">
        <f>$A23*INDEX(Data!$F$4:$AZ$106,MATCH('Summary - 2013'!J$1,Data!$F$4:$F$106,0),MATCH('Summary - 2013'!$C23,Data!$F$4:$AZ$4,0))/$B23</f>
        <v>12918112.16156131</v>
      </c>
      <c r="K23" s="220">
        <f>$A23*INDEX(Data!$F$4:$AZ$106,MATCH('Summary - 2013'!K$1,Data!$F$4:$F$106,0),MATCH('Summary - 2013'!$C23,Data!$F$4:$AZ$4,0))/$B23</f>
        <v>173606.79925400001</v>
      </c>
      <c r="L23" s="223">
        <f>$A23*INDEX(Data!$F$4:$AZ$106,MATCH('Summary - 2013'!L$1,Data!$F$4:$F$106,0),MATCH('Summary - 2013'!$C23,Data!$F$4:$AZ$4,0))/$B23</f>
        <v>35.924755225863002</v>
      </c>
      <c r="M23" s="222">
        <f>$A23*INDEX(Data!$F$4:$AZ$106,MATCH('Summary - 2013'!M$1,Data!$F$4:$F$106,0),MATCH('Summary - 2013'!$C23,Data!$F$4:$AZ$4,0))/$B23</f>
        <v>889280.55657762301</v>
      </c>
      <c r="N23" s="220">
        <f>$A23*INDEX(Data!$F$4:$AZ$106,MATCH('Summary - 2013'!N$1,Data!$F$4:$F$106,0),MATCH('Summary - 2013'!$C23,Data!$F$4:$AZ$4,0))/$B23</f>
        <v>6172.5435006287498</v>
      </c>
      <c r="O23" s="223">
        <f>$A23*INDEX(Data!$F$4:$AZ$106,MATCH('Summary - 2013'!O$1,Data!$F$4:$F$106,0),MATCH('Summary - 2013'!$C23,Data!$F$4:$AZ$4,0))/$B23</f>
        <v>146.77224503641</v>
      </c>
      <c r="P23" s="222">
        <f>$A23*INDEX(Data!$F$4:$AZ$106,MATCH('Summary - 2013'!P$1,Data!$F$4:$F$106,0),MATCH('Summary - 2013'!$C23,Data!$F$4:$AZ$4,0))/$B23</f>
        <v>118384.05332091611</v>
      </c>
      <c r="Q23" s="223">
        <f>$A23*INDEX(Data!$F$4:$AZ$106,MATCH('Summary - 2013'!Q$1,Data!$F$4:$F$106,0),MATCH('Summary - 2013'!$C23,Data!$F$4:$AZ$4,0))/$B23</f>
        <v>68878.146213929518</v>
      </c>
    </row>
    <row r="24" spans="1:17" ht="30" customHeight="1" x14ac:dyDescent="0.25">
      <c r="A24" s="514">
        <f>HLOOKUP(C24,Data!$4:$11,7,0)</f>
        <v>1</v>
      </c>
      <c r="B24" s="514">
        <f>IF(HLOOKUP(C24,Data!$4:$11,8,0)=1,1000000,IF(HLOOKUP(C24,Data!$4:$11,8,0)=1000000,1,HLOOKUP(C24,Data!$4:$11,8,0)))</f>
        <v>1000000</v>
      </c>
      <c r="C24" s="514" t="str">
        <f>+VLOOKUP(E24,'aux - sample'!$A$3:$B$38,2,FALSE)</f>
        <v>DE_HLB</v>
      </c>
      <c r="E24" s="205" t="s">
        <v>542</v>
      </c>
      <c r="F24" s="218">
        <f>$A24*INDEX(Data!$F$4:$AZ$106,MATCH('Summary - 2013'!F$1,Data!$F$4:$F$106,0),MATCH('Summary - 2013'!$C24,Data!$F$4:$AZ$4,0))/$B24</f>
        <v>205373.3675947866</v>
      </c>
      <c r="G24" s="219">
        <f>$A24*INDEX(Data!$F$4:$AZ$106,MATCH('Summary - 2013'!G$1,Data!$F$4:$F$106,0),MATCH('Summary - 2013'!$C24,Data!$F$4:$AZ$4,0))/$B24</f>
        <v>46672.664637967995</v>
      </c>
      <c r="H24" s="220">
        <f>$A24*INDEX(Data!$F$4:$AZ$106,MATCH('Summary - 2013'!H$1,Data!$F$4:$F$106,0),MATCH('Summary - 2013'!$C24,Data!$F$4:$AZ$4,0))/$B24</f>
        <v>82525.325754220001</v>
      </c>
      <c r="I24" s="221">
        <f>$A24*INDEX(Data!$F$4:$AZ$106,MATCH('Summary - 2013'!I$1,Data!$F$4:$F$106,0),MATCH('Summary - 2013'!$C24,Data!$F$4:$AZ$4,0))/$B24</f>
        <v>54761.68896105</v>
      </c>
      <c r="J24" s="222">
        <f>$A24*INDEX(Data!$F$4:$AZ$106,MATCH('Summary - 2013'!J$1,Data!$F$4:$F$106,0),MATCH('Summary - 2013'!$C24,Data!$F$4:$AZ$4,0))/$B24</f>
        <v>2116724.6141202315</v>
      </c>
      <c r="K24" s="220">
        <f>$A24*INDEX(Data!$F$4:$AZ$106,MATCH('Summary - 2013'!K$1,Data!$F$4:$F$106,0),MATCH('Summary - 2013'!$C24,Data!$F$4:$AZ$4,0))/$B24</f>
        <v>120200</v>
      </c>
      <c r="L24" s="223">
        <f>$A24*INDEX(Data!$F$4:$AZ$106,MATCH('Summary - 2013'!L$1,Data!$F$4:$F$106,0),MATCH('Summary - 2013'!$C24,Data!$F$4:$AZ$4,0))/$B24</f>
        <v>8473</v>
      </c>
      <c r="M24" s="222">
        <f>$A24*INDEX(Data!$F$4:$AZ$106,MATCH('Summary - 2013'!M$1,Data!$F$4:$F$106,0),MATCH('Summary - 2013'!$C24,Data!$F$4:$AZ$4,0))/$B24</f>
        <v>546818.28718191001</v>
      </c>
      <c r="N24" s="220">
        <f>$A24*INDEX(Data!$F$4:$AZ$106,MATCH('Summary - 2013'!N$1,Data!$F$4:$F$106,0),MATCH('Summary - 2013'!$C24,Data!$F$4:$AZ$4,0))/$B24</f>
        <v>21445.895414510003</v>
      </c>
      <c r="O24" s="223">
        <f>$A24*INDEX(Data!$F$4:$AZ$106,MATCH('Summary - 2013'!O$1,Data!$F$4:$F$106,0),MATCH('Summary - 2013'!$C24,Data!$F$4:$AZ$4,0))/$B24</f>
        <v>574.69375480999997</v>
      </c>
      <c r="P24" s="222">
        <f>$A24*INDEX(Data!$F$4:$AZ$106,MATCH('Summary - 2013'!P$1,Data!$F$4:$F$106,0),MATCH('Summary - 2013'!$C24,Data!$F$4:$AZ$4,0))/$B24</f>
        <v>49946.220999999998</v>
      </c>
      <c r="Q24" s="223">
        <f>$A24*INDEX(Data!$F$4:$AZ$106,MATCH('Summary - 2013'!Q$1,Data!$F$4:$F$106,0),MATCH('Summary - 2013'!$C24,Data!$F$4:$AZ$4,0))/$B24</f>
        <v>11287.686</v>
      </c>
    </row>
    <row r="25" spans="1:17" ht="30" customHeight="1" x14ac:dyDescent="0.25">
      <c r="A25" s="514">
        <f>HLOOKUP(C25,Data!$4:$11,7,0)</f>
        <v>0.72511057899999998</v>
      </c>
      <c r="B25" s="514">
        <f>IF(HLOOKUP(C25,Data!$4:$11,8,0)=1,1000000,IF(HLOOKUP(C25,Data!$4:$11,8,0)=1000000,1,HLOOKUP(C25,Data!$4:$11,8,0)))</f>
        <v>1</v>
      </c>
      <c r="C25" s="514" t="str">
        <f>+VLOOKUP(E25,'aux - sample'!$A$3:$B$38,2,FALSE)</f>
        <v>UK_HSB</v>
      </c>
      <c r="E25" s="205" t="s">
        <v>304</v>
      </c>
      <c r="F25" s="218">
        <f>$A25*INDEX(Data!$F$4:$AZ$106,MATCH('Summary - 2013'!F$1,Data!$F$4:$F$106,0),MATCH('Summary - 2013'!$C25,Data!$F$4:$AZ$4,0))/$B25</f>
        <v>2414659.9732727744</v>
      </c>
      <c r="G25" s="219">
        <f>$A25*INDEX(Data!$F$4:$AZ$106,MATCH('Summary - 2013'!G$1,Data!$F$4:$F$106,0),MATCH('Summary - 2013'!$C25,Data!$F$4:$AZ$4,0))/$B25</f>
        <v>396150.96410148859</v>
      </c>
      <c r="H25" s="220">
        <f>$A25*INDEX(Data!$F$4:$AZ$106,MATCH('Summary - 2013'!H$1,Data!$F$4:$F$106,0),MATCH('Summary - 2013'!$C25,Data!$F$4:$AZ$4,0))/$B25</f>
        <v>351346.20245102601</v>
      </c>
      <c r="I25" s="221">
        <f>$A25*INDEX(Data!$F$4:$AZ$106,MATCH('Summary - 2013'!I$1,Data!$F$4:$F$106,0),MATCH('Summary - 2013'!$C25,Data!$F$4:$AZ$4,0))/$B25</f>
        <v>313259.66521951143</v>
      </c>
      <c r="J25" s="222">
        <f>$A25*INDEX(Data!$F$4:$AZ$106,MATCH('Summary - 2013'!J$1,Data!$F$4:$F$106,0),MATCH('Summary - 2013'!$C25,Data!$F$4:$AZ$4,0))/$B25</f>
        <v>56572184.993503354</v>
      </c>
      <c r="K25" s="220">
        <f>$A25*INDEX(Data!$F$4:$AZ$106,MATCH('Summary - 2013'!K$1,Data!$F$4:$F$106,0),MATCH('Summary - 2013'!$C25,Data!$F$4:$AZ$4,0))/$B25</f>
        <v>4491000.7121357583</v>
      </c>
      <c r="L25" s="223">
        <f>$A25*INDEX(Data!$F$4:$AZ$106,MATCH('Summary - 2013'!L$1,Data!$F$4:$F$106,0),MATCH('Summary - 2013'!$C25,Data!$F$4:$AZ$4,0))/$B25</f>
        <v>255861.42739821313</v>
      </c>
      <c r="M25" s="222">
        <f>$A25*INDEX(Data!$F$4:$AZ$106,MATCH('Summary - 2013'!M$1,Data!$F$4:$F$106,0),MATCH('Summary - 2013'!$C25,Data!$F$4:$AZ$4,0))/$B25</f>
        <v>23786938.022958066</v>
      </c>
      <c r="N25" s="220">
        <f>$A25*INDEX(Data!$F$4:$AZ$106,MATCH('Summary - 2013'!N$1,Data!$F$4:$F$106,0),MATCH('Summary - 2013'!$C25,Data!$F$4:$AZ$4,0))/$B25</f>
        <v>186014.79216260699</v>
      </c>
      <c r="O25" s="223">
        <f>$A25*INDEX(Data!$F$4:$AZ$106,MATCH('Summary - 2013'!O$1,Data!$F$4:$F$106,0),MATCH('Summary - 2013'!$C25,Data!$F$4:$AZ$4,0))/$B25</f>
        <v>10712.8401463464</v>
      </c>
      <c r="P25" s="222">
        <f>$A25*INDEX(Data!$F$4:$AZ$106,MATCH('Summary - 2013'!P$1,Data!$F$4:$F$106,0),MATCH('Summary - 2013'!$C25,Data!$F$4:$AZ$4,0))/$B25</f>
        <v>1109379.8883798777</v>
      </c>
      <c r="Q25" s="223">
        <f>$A25*INDEX(Data!$F$4:$AZ$106,MATCH('Summary - 2013'!Q$1,Data!$F$4:$F$106,0),MATCH('Summary - 2013'!$C25,Data!$F$4:$AZ$4,0))/$B25</f>
        <v>1238647.0713683756</v>
      </c>
    </row>
    <row r="26" spans="1:17" ht="30" customHeight="1" x14ac:dyDescent="0.25">
      <c r="A26" s="514">
        <f>HLOOKUP(C26,Data!$4:$11,7,0)</f>
        <v>1</v>
      </c>
      <c r="B26" s="514">
        <f>IF(HLOOKUP(C26,Data!$4:$11,8,0)=1,1000000,IF(HLOOKUP(C26,Data!$4:$11,8,0)=1000000,1,HLOOKUP(C26,Data!$4:$11,8,0)))</f>
        <v>1</v>
      </c>
      <c r="C26" s="514" t="str">
        <f>+VLOOKUP(E26,'aux - sample'!$A$3:$B$38,2,FALSE)</f>
        <v>NL_ING</v>
      </c>
      <c r="E26" s="205" t="s">
        <v>301</v>
      </c>
      <c r="F26" s="218">
        <f>$A26*INDEX(Data!$F$4:$AZ$106,MATCH('Summary - 2013'!F$1,Data!$F$4:$F$106,0),MATCH('Summary - 2013'!$C26,Data!$F$4:$AZ$4,0))/$B26</f>
        <v>934934.3</v>
      </c>
      <c r="G26" s="219">
        <f>$A26*INDEX(Data!$F$4:$AZ$106,MATCH('Summary - 2013'!G$1,Data!$F$4:$F$106,0),MATCH('Summary - 2013'!$C26,Data!$F$4:$AZ$4,0))/$B26</f>
        <v>120153</v>
      </c>
      <c r="H26" s="220">
        <f>$A26*INDEX(Data!$F$4:$AZ$106,MATCH('Summary - 2013'!H$1,Data!$F$4:$F$106,0),MATCH('Summary - 2013'!$C26,Data!$F$4:$AZ$4,0))/$B26</f>
        <v>112744</v>
      </c>
      <c r="I26" s="221">
        <f>$A26*INDEX(Data!$F$4:$AZ$106,MATCH('Summary - 2013'!I$1,Data!$F$4:$F$106,0),MATCH('Summary - 2013'!$C26,Data!$F$4:$AZ$4,0))/$B26</f>
        <v>136282</v>
      </c>
      <c r="J26" s="222">
        <f>$A26*INDEX(Data!$F$4:$AZ$106,MATCH('Summary - 2013'!J$1,Data!$F$4:$F$106,0),MATCH('Summary - 2013'!$C26,Data!$F$4:$AZ$4,0))/$B26</f>
        <v>19088070.55060555</v>
      </c>
      <c r="K26" s="220">
        <f>$A26*INDEX(Data!$F$4:$AZ$106,MATCH('Summary - 2013'!K$1,Data!$F$4:$F$106,0),MATCH('Summary - 2013'!$C26,Data!$F$4:$AZ$4,0))/$B26</f>
        <v>172406</v>
      </c>
      <c r="L26" s="223">
        <f>$A26*INDEX(Data!$F$4:$AZ$106,MATCH('Summary - 2013'!L$1,Data!$F$4:$F$106,0),MATCH('Summary - 2013'!$C26,Data!$F$4:$AZ$4,0))/$B26</f>
        <v>26770</v>
      </c>
      <c r="M26" s="222">
        <f>$A26*INDEX(Data!$F$4:$AZ$106,MATCH('Summary - 2013'!M$1,Data!$F$4:$F$106,0),MATCH('Summary - 2013'!$C26,Data!$F$4:$AZ$4,0))/$B26</f>
        <v>3445785</v>
      </c>
      <c r="N26" s="220">
        <f>$A26*INDEX(Data!$F$4:$AZ$106,MATCH('Summary - 2013'!N$1,Data!$F$4:$F$106,0),MATCH('Summary - 2013'!$C26,Data!$F$4:$AZ$4,0))/$B26</f>
        <v>34469</v>
      </c>
      <c r="O26" s="223">
        <f>$A26*INDEX(Data!$F$4:$AZ$106,MATCH('Summary - 2013'!O$1,Data!$F$4:$F$106,0),MATCH('Summary - 2013'!$C26,Data!$F$4:$AZ$4,0))/$B26</f>
        <v>2601</v>
      </c>
      <c r="P26" s="222">
        <f>$A26*INDEX(Data!$F$4:$AZ$106,MATCH('Summary - 2013'!P$1,Data!$F$4:$F$106,0),MATCH('Summary - 2013'!$C26,Data!$F$4:$AZ$4,0))/$B26</f>
        <v>469701</v>
      </c>
      <c r="Q26" s="223">
        <f>$A26*INDEX(Data!$F$4:$AZ$106,MATCH('Summary - 2013'!Q$1,Data!$F$4:$F$106,0),MATCH('Summary - 2013'!$C26,Data!$F$4:$AZ$4,0))/$B26</f>
        <v>456301</v>
      </c>
    </row>
    <row r="27" spans="1:17" ht="30" customHeight="1" x14ac:dyDescent="0.25">
      <c r="A27" s="514">
        <f>HLOOKUP(C27,Data!$4:$11,7,0)</f>
        <v>1</v>
      </c>
      <c r="B27" s="514">
        <f>IF(HLOOKUP(C27,Data!$4:$11,8,0)=1,1000000,IF(HLOOKUP(C27,Data!$4:$11,8,0)=1000000,1,HLOOKUP(C27,Data!$4:$11,8,0)))</f>
        <v>1000</v>
      </c>
      <c r="C27" s="514" t="str">
        <f>+VLOOKUP(E27,'aux - sample'!$A$3:$B$38,2,FALSE)</f>
        <v>IT_INT</v>
      </c>
      <c r="E27" s="205" t="s">
        <v>364</v>
      </c>
      <c r="F27" s="218">
        <f>$A27*INDEX(Data!$F$4:$AZ$106,MATCH('Summary - 2013'!F$1,Data!$F$4:$F$106,0),MATCH('Summary - 2013'!$C27,Data!$F$4:$AZ$4,0))/$B27</f>
        <v>686739.46308654896</v>
      </c>
      <c r="G27" s="219">
        <f>$A27*INDEX(Data!$F$4:$AZ$106,MATCH('Summary - 2013'!G$1,Data!$F$4:$F$106,0),MATCH('Summary - 2013'!$C27,Data!$F$4:$AZ$4,0))/$B27</f>
        <v>91100.21650237967</v>
      </c>
      <c r="H27" s="220">
        <f>$A27*INDEX(Data!$F$4:$AZ$106,MATCH('Summary - 2013'!H$1,Data!$F$4:$F$106,0),MATCH('Summary - 2013'!$C27,Data!$F$4:$AZ$4,0))/$B27</f>
        <v>52929.119468812773</v>
      </c>
      <c r="I27" s="221">
        <f>$A27*INDEX(Data!$F$4:$AZ$106,MATCH('Summary - 2013'!I$1,Data!$F$4:$F$106,0),MATCH('Summary - 2013'!$C27,Data!$F$4:$AZ$4,0))/$B27</f>
        <v>173891.97015196012</v>
      </c>
      <c r="J27" s="222">
        <f>$A27*INDEX(Data!$F$4:$AZ$106,MATCH('Summary - 2013'!J$1,Data!$F$4:$F$106,0),MATCH('Summary - 2013'!$C27,Data!$F$4:$AZ$4,0))/$B27</f>
        <v>10485571.55860276</v>
      </c>
      <c r="K27" s="220">
        <f>$A27*INDEX(Data!$F$4:$AZ$106,MATCH('Summary - 2013'!K$1,Data!$F$4:$F$106,0),MATCH('Summary - 2013'!$C27,Data!$F$4:$AZ$4,0))/$B27</f>
        <v>579084</v>
      </c>
      <c r="L27" s="223">
        <f>$A27*INDEX(Data!$F$4:$AZ$106,MATCH('Summary - 2013'!L$1,Data!$F$4:$F$106,0),MATCH('Summary - 2013'!$C27,Data!$F$4:$AZ$4,0))/$B27</f>
        <v>7.3956210000000002</v>
      </c>
      <c r="M27" s="222">
        <f>$A27*INDEX(Data!$F$4:$AZ$106,MATCH('Summary - 2013'!M$1,Data!$F$4:$F$106,0),MATCH('Summary - 2013'!$C27,Data!$F$4:$AZ$4,0))/$B27</f>
        <v>2593371.5350000001</v>
      </c>
      <c r="N27" s="220">
        <f>$A27*INDEX(Data!$F$4:$AZ$106,MATCH('Summary - 2013'!N$1,Data!$F$4:$F$106,0),MATCH('Summary - 2013'!$C27,Data!$F$4:$AZ$4,0))/$B27</f>
        <v>19469.662976334497</v>
      </c>
      <c r="O27" s="223">
        <f>$A27*INDEX(Data!$F$4:$AZ$106,MATCH('Summary - 2013'!O$1,Data!$F$4:$F$106,0),MATCH('Summary - 2013'!$C27,Data!$F$4:$AZ$4,0))/$B27</f>
        <v>6026</v>
      </c>
      <c r="P27" s="222">
        <f>$A27*INDEX(Data!$F$4:$AZ$106,MATCH('Summary - 2013'!P$1,Data!$F$4:$F$106,0),MATCH('Summary - 2013'!$C27,Data!$F$4:$AZ$4,0))/$B27</f>
        <v>101155</v>
      </c>
      <c r="Q27" s="223">
        <f>$A27*INDEX(Data!$F$4:$AZ$106,MATCH('Summary - 2013'!Q$1,Data!$F$4:$F$106,0),MATCH('Summary - 2013'!$C27,Data!$F$4:$AZ$4,0))/$B27</f>
        <v>125619</v>
      </c>
    </row>
    <row r="28" spans="1:17" ht="30" customHeight="1" x14ac:dyDescent="0.25">
      <c r="A28" s="514">
        <f>HLOOKUP(C28,Data!$4:$11,7,0)</f>
        <v>1</v>
      </c>
      <c r="B28" s="514">
        <f>IF(HLOOKUP(C28,Data!$4:$11,8,0)=1,1000000,IF(HLOOKUP(C28,Data!$4:$11,8,0)=1000000,1,HLOOKUP(C28,Data!$4:$11,8,0)))</f>
        <v>1</v>
      </c>
      <c r="C28" s="514" t="str">
        <f>+VLOOKUP(E28,'aux - sample'!$A$3:$B$38,2,FALSE)</f>
        <v>BE_KBC</v>
      </c>
      <c r="E28" s="205" t="s">
        <v>289</v>
      </c>
      <c r="F28" s="218">
        <f>$A28*INDEX(Data!$F$4:$AZ$106,MATCH('Summary - 2013'!F$1,Data!$F$4:$F$106,0),MATCH('Summary - 2013'!$C28,Data!$F$4:$AZ$4,0))/$B28</f>
        <v>236939.41234585541</v>
      </c>
      <c r="G28" s="219">
        <f>$A28*INDEX(Data!$F$4:$AZ$106,MATCH('Summary - 2013'!G$1,Data!$F$4:$F$106,0),MATCH('Summary - 2013'!$C28,Data!$F$4:$AZ$4,0))/$B28</f>
        <v>26156.921228235184</v>
      </c>
      <c r="H28" s="220">
        <f>$A28*INDEX(Data!$F$4:$AZ$106,MATCH('Summary - 2013'!H$1,Data!$F$4:$F$106,0),MATCH('Summary - 2013'!$C28,Data!$F$4:$AZ$4,0))/$B28</f>
        <v>34568.216102561419</v>
      </c>
      <c r="I28" s="221">
        <f>$A28*INDEX(Data!$F$4:$AZ$106,MATCH('Summary - 2013'!I$1,Data!$F$4:$F$106,0),MATCH('Summary - 2013'!$C28,Data!$F$4:$AZ$4,0))/$B28</f>
        <v>28957</v>
      </c>
      <c r="J28" s="222">
        <f>$A28*INDEX(Data!$F$4:$AZ$106,MATCH('Summary - 2013'!J$1,Data!$F$4:$F$106,0),MATCH('Summary - 2013'!$C28,Data!$F$4:$AZ$4,0))/$B28</f>
        <v>4124870.8889150168</v>
      </c>
      <c r="K28" s="220">
        <f>$A28*INDEX(Data!$F$4:$AZ$106,MATCH('Summary - 2013'!K$1,Data!$F$4:$F$106,0),MATCH('Summary - 2013'!$C28,Data!$F$4:$AZ$4,0))/$B28</f>
        <v>210419.52000000002</v>
      </c>
      <c r="L28" s="223">
        <f>$A28*INDEX(Data!$F$4:$AZ$106,MATCH('Summary - 2013'!L$1,Data!$F$4:$F$106,0),MATCH('Summary - 2013'!$C28,Data!$F$4:$AZ$4,0))/$B28</f>
        <v>0</v>
      </c>
      <c r="M28" s="222">
        <f>$A28*INDEX(Data!$F$4:$AZ$106,MATCH('Summary - 2013'!M$1,Data!$F$4:$F$106,0),MATCH('Summary - 2013'!$C28,Data!$F$4:$AZ$4,0))/$B28</f>
        <v>448695.977691776</v>
      </c>
      <c r="N28" s="220">
        <f>$A28*INDEX(Data!$F$4:$AZ$106,MATCH('Summary - 2013'!N$1,Data!$F$4:$F$106,0),MATCH('Summary - 2013'!$C28,Data!$F$4:$AZ$4,0))/$B28</f>
        <v>3771</v>
      </c>
      <c r="O28" s="223">
        <f>$A28*INDEX(Data!$F$4:$AZ$106,MATCH('Summary - 2013'!O$1,Data!$F$4:$F$106,0),MATCH('Summary - 2013'!$C28,Data!$F$4:$AZ$4,0))/$B28</f>
        <v>3582</v>
      </c>
      <c r="P28" s="222">
        <f>$A28*INDEX(Data!$F$4:$AZ$106,MATCH('Summary - 2013'!P$1,Data!$F$4:$F$106,0),MATCH('Summary - 2013'!$C28,Data!$F$4:$AZ$4,0))/$B28</f>
        <v>98266</v>
      </c>
      <c r="Q28" s="223">
        <f>$A28*INDEX(Data!$F$4:$AZ$106,MATCH('Summary - 2013'!Q$1,Data!$F$4:$F$106,0),MATCH('Summary - 2013'!$C28,Data!$F$4:$AZ$4,0))/$B28</f>
        <v>109623</v>
      </c>
    </row>
    <row r="29" spans="1:17" ht="30" customHeight="1" x14ac:dyDescent="0.25">
      <c r="A29" s="514">
        <f>HLOOKUP(C29,Data!$4:$11,7,0)</f>
        <v>1</v>
      </c>
      <c r="B29" s="514">
        <f>IF(HLOOKUP(C29,Data!$4:$11,8,0)=1,1000000,IF(HLOOKUP(C29,Data!$4:$11,8,0)=1000000,1,HLOOKUP(C29,Data!$4:$11,8,0)))</f>
        <v>1000</v>
      </c>
      <c r="C29" s="514" t="str">
        <f>+VLOOKUP(E29,'aux - sample'!$A$3:$B$38,2,FALSE)</f>
        <v>ES_CAI</v>
      </c>
      <c r="E29" s="205" t="s">
        <v>357</v>
      </c>
      <c r="F29" s="218">
        <f>$A29*INDEX(Data!$F$4:$AZ$106,MATCH('Summary - 2013'!F$1,Data!$F$4:$F$106,0),MATCH('Summary - 2013'!$C29,Data!$F$4:$AZ$4,0))/$B29</f>
        <v>376236.27477390075</v>
      </c>
      <c r="G29" s="219">
        <f>$A29*INDEX(Data!$F$4:$AZ$106,MATCH('Summary - 2013'!G$1,Data!$F$4:$F$106,0),MATCH('Summary - 2013'!$C29,Data!$F$4:$AZ$4,0))/$B29</f>
        <v>18550.966985513955</v>
      </c>
      <c r="H29" s="220">
        <f>$A29*INDEX(Data!$F$4:$AZ$106,MATCH('Summary - 2013'!H$1,Data!$F$4:$F$106,0),MATCH('Summary - 2013'!$C29,Data!$F$4:$AZ$4,0))/$B29</f>
        <v>21009.781394594957</v>
      </c>
      <c r="I29" s="221">
        <f>$A29*INDEX(Data!$F$4:$AZ$106,MATCH('Summary - 2013'!I$1,Data!$F$4:$F$106,0),MATCH('Summary - 2013'!$C29,Data!$F$4:$AZ$4,0))/$B29</f>
        <v>82359.205945693</v>
      </c>
      <c r="J29" s="222">
        <f>$A29*INDEX(Data!$F$4:$AZ$106,MATCH('Summary - 2013'!J$1,Data!$F$4:$F$106,0),MATCH('Summary - 2013'!$C29,Data!$F$4:$AZ$4,0))/$B29</f>
        <v>2376029.2774501103</v>
      </c>
      <c r="K29" s="220">
        <f>$A29*INDEX(Data!$F$4:$AZ$106,MATCH('Summary - 2013'!K$1,Data!$F$4:$F$106,0),MATCH('Summary - 2013'!$C29,Data!$F$4:$AZ$4,0))/$B29</f>
        <v>107207.71434506001</v>
      </c>
      <c r="L29" s="223">
        <f>$A29*INDEX(Data!$F$4:$AZ$106,MATCH('Summary - 2013'!L$1,Data!$F$4:$F$106,0),MATCH('Summary - 2013'!$C29,Data!$F$4:$AZ$4,0))/$B29</f>
        <v>140</v>
      </c>
      <c r="M29" s="222">
        <f>$A29*INDEX(Data!$F$4:$AZ$106,MATCH('Summary - 2013'!M$1,Data!$F$4:$F$106,0),MATCH('Summary - 2013'!$C29,Data!$F$4:$AZ$4,0))/$B29</f>
        <v>428133.07999619411</v>
      </c>
      <c r="N29" s="220">
        <f>$A29*INDEX(Data!$F$4:$AZ$106,MATCH('Summary - 2013'!N$1,Data!$F$4:$F$106,0),MATCH('Summary - 2013'!$C29,Data!$F$4:$AZ$4,0))/$B29</f>
        <v>4654.7399186463617</v>
      </c>
      <c r="O29" s="223">
        <f>$A29*INDEX(Data!$F$4:$AZ$106,MATCH('Summary - 2013'!O$1,Data!$F$4:$F$106,0),MATCH('Summary - 2013'!$C29,Data!$F$4:$AZ$4,0))/$B29</f>
        <v>1697.7059999999999</v>
      </c>
      <c r="P29" s="222">
        <f>$A29*INDEX(Data!$F$4:$AZ$106,MATCH('Summary - 2013'!P$1,Data!$F$4:$F$106,0),MATCH('Summary - 2013'!$C29,Data!$F$4:$AZ$4,0))/$B29</f>
        <v>17367.192999999999</v>
      </c>
      <c r="Q29" s="223">
        <f>$A29*INDEX(Data!$F$4:$AZ$106,MATCH('Summary - 2013'!Q$1,Data!$F$4:$F$106,0),MATCH('Summary - 2013'!$C29,Data!$F$4:$AZ$4,0))/$B29</f>
        <v>43.866</v>
      </c>
    </row>
    <row r="30" spans="1:17" ht="30" customHeight="1" x14ac:dyDescent="0.25">
      <c r="A30" s="514">
        <f>HLOOKUP(C30,Data!$4:$11,7,0)</f>
        <v>1</v>
      </c>
      <c r="B30" s="514">
        <f>IF(HLOOKUP(C30,Data!$4:$11,8,0)=1,1000000,IF(HLOOKUP(C30,Data!$4:$11,8,0)=1000000,1,HLOOKUP(C30,Data!$4:$11,8,0)))</f>
        <v>1000000</v>
      </c>
      <c r="C30" s="514" t="str">
        <f>+VLOOKUP(E30,'aux - sample'!$A$3:$B$38,2,FALSE)</f>
        <v>DE_LBW</v>
      </c>
      <c r="E30" s="205" t="s">
        <v>543</v>
      </c>
      <c r="F30" s="218">
        <f>$A30*INDEX(Data!$F$4:$AZ$106,MATCH('Summary - 2013'!F$1,Data!$F$4:$F$106,0),MATCH('Summary - 2013'!$C30,Data!$F$4:$AZ$4,0))/$B30</f>
        <v>312590.79452339001</v>
      </c>
      <c r="G30" s="219">
        <f>$A30*INDEX(Data!$F$4:$AZ$106,MATCH('Summary - 2013'!G$1,Data!$F$4:$F$106,0),MATCH('Summary - 2013'!$C30,Data!$F$4:$AZ$4,0))/$B30</f>
        <v>132618.01236426999</v>
      </c>
      <c r="H30" s="220">
        <f>$A30*INDEX(Data!$F$4:$AZ$106,MATCH('Summary - 2013'!H$1,Data!$F$4:$F$106,0),MATCH('Summary - 2013'!$C30,Data!$F$4:$AZ$4,0))/$B30</f>
        <v>125891.151492</v>
      </c>
      <c r="I30" s="221">
        <f>$A30*INDEX(Data!$F$4:$AZ$106,MATCH('Summary - 2013'!I$1,Data!$F$4:$F$106,0),MATCH('Summary - 2013'!$C30,Data!$F$4:$AZ$4,0))/$B30</f>
        <v>57214.709179080004</v>
      </c>
      <c r="J30" s="222">
        <f>$A30*INDEX(Data!$F$4:$AZ$106,MATCH('Summary - 2013'!J$1,Data!$F$4:$F$106,0),MATCH('Summary - 2013'!$C30,Data!$F$4:$AZ$4,0))/$B30</f>
        <v>4615120.8438748792</v>
      </c>
      <c r="K30" s="220">
        <f>$A30*INDEX(Data!$F$4:$AZ$106,MATCH('Summary - 2013'!K$1,Data!$F$4:$F$106,0),MATCH('Summary - 2013'!$C30,Data!$F$4:$AZ$4,0))/$B30</f>
        <v>220710.54218579998</v>
      </c>
      <c r="L30" s="223">
        <f>$A30*INDEX(Data!$F$4:$AZ$106,MATCH('Summary - 2013'!L$1,Data!$F$4:$F$106,0),MATCH('Summary - 2013'!$C30,Data!$F$4:$AZ$4,0))/$B30</f>
        <v>21621.31</v>
      </c>
      <c r="M30" s="222">
        <f>$A30*INDEX(Data!$F$4:$AZ$106,MATCH('Summary - 2013'!M$1,Data!$F$4:$F$106,0),MATCH('Summary - 2013'!$C30,Data!$F$4:$AZ$4,0))/$B30</f>
        <v>1228572.8984795304</v>
      </c>
      <c r="N30" s="220">
        <f>$A30*INDEX(Data!$F$4:$AZ$106,MATCH('Summary - 2013'!N$1,Data!$F$4:$F$106,0),MATCH('Summary - 2013'!$C30,Data!$F$4:$AZ$4,0))/$B30</f>
        <v>26640.922036894004</v>
      </c>
      <c r="O30" s="223">
        <f>$A30*INDEX(Data!$F$4:$AZ$106,MATCH('Summary - 2013'!O$1,Data!$F$4:$F$106,0),MATCH('Summary - 2013'!$C30,Data!$F$4:$AZ$4,0))/$B30</f>
        <v>2204.18790119</v>
      </c>
      <c r="P30" s="222">
        <f>$A30*INDEX(Data!$F$4:$AZ$106,MATCH('Summary - 2013'!P$1,Data!$F$4:$F$106,0),MATCH('Summary - 2013'!$C30,Data!$F$4:$AZ$4,0))/$B30</f>
        <v>76883.712</v>
      </c>
      <c r="Q30" s="223">
        <f>$A30*INDEX(Data!$F$4:$AZ$106,MATCH('Summary - 2013'!Q$1,Data!$F$4:$F$106,0),MATCH('Summary - 2013'!$C30,Data!$F$4:$AZ$4,0))/$B30</f>
        <v>31478.994999999999</v>
      </c>
    </row>
    <row r="31" spans="1:17" ht="30" customHeight="1" x14ac:dyDescent="0.25">
      <c r="A31" s="514">
        <f>HLOOKUP(C31,Data!$4:$11,7,0)</f>
        <v>1.199472232</v>
      </c>
      <c r="B31" s="514">
        <f>IF(HLOOKUP(C31,Data!$4:$11,8,0)=1,1000000,IF(HLOOKUP(C31,Data!$4:$11,8,0)=1000000,1,HLOOKUP(C31,Data!$4:$11,8,0)))</f>
        <v>1</v>
      </c>
      <c r="C31" s="514" t="str">
        <f>+VLOOKUP(E31,'aux - sample'!$A$3:$B$38,2,FALSE)</f>
        <v>UK_LOY</v>
      </c>
      <c r="E31" s="205" t="s">
        <v>305</v>
      </c>
      <c r="F31" s="218">
        <f>$A31*INDEX(Data!$F$4:$AZ$106,MATCH('Summary - 2013'!F$1,Data!$F$4:$F$106,0),MATCH('Summary - 2013'!$C31,Data!$F$4:$AZ$4,0))/$B31</f>
        <v>999270.27278693754</v>
      </c>
      <c r="G31" s="219">
        <f>$A31*INDEX(Data!$F$4:$AZ$106,MATCH('Summary - 2013'!G$1,Data!$F$4:$F$106,0),MATCH('Summary - 2013'!$C31,Data!$F$4:$AZ$4,0))/$B31</f>
        <v>46487.78617003929</v>
      </c>
      <c r="H31" s="220">
        <f>$A31*INDEX(Data!$F$4:$AZ$106,MATCH('Summary - 2013'!H$1,Data!$F$4:$F$106,0),MATCH('Summary - 2013'!$C31,Data!$F$4:$AZ$4,0))/$B31</f>
        <v>42660.66026333355</v>
      </c>
      <c r="I31" s="221">
        <f>$A31*INDEX(Data!$F$4:$AZ$106,MATCH('Summary - 2013'!I$1,Data!$F$4:$F$106,0),MATCH('Summary - 2013'!$C31,Data!$F$4:$AZ$4,0))/$B31</f>
        <v>210758.066412488</v>
      </c>
      <c r="J31" s="222">
        <f>$A31*INDEX(Data!$F$4:$AZ$106,MATCH('Summary - 2013'!J$1,Data!$F$4:$F$106,0),MATCH('Summary - 2013'!$C31,Data!$F$4:$AZ$4,0))/$B31</f>
        <v>32207618.697860066</v>
      </c>
      <c r="K31" s="220">
        <f>$A31*INDEX(Data!$F$4:$AZ$106,MATCH('Summary - 2013'!K$1,Data!$F$4:$F$106,0),MATCH('Summary - 2013'!$C31,Data!$F$4:$AZ$4,0))/$B31</f>
        <v>12206.367055238043</v>
      </c>
      <c r="L31" s="223">
        <f>$A31*INDEX(Data!$F$4:$AZ$106,MATCH('Summary - 2013'!L$1,Data!$F$4:$F$106,0),MATCH('Summary - 2013'!$C31,Data!$F$4:$AZ$4,0))/$B31</f>
        <v>12180.64051596</v>
      </c>
      <c r="M31" s="222">
        <f>$A31*INDEX(Data!$F$4:$AZ$106,MATCH('Summary - 2013'!M$1,Data!$F$4:$F$106,0),MATCH('Summary - 2013'!$C31,Data!$F$4:$AZ$4,0))/$B31</f>
        <v>6284904.3979959171</v>
      </c>
      <c r="N31" s="220">
        <f>$A31*INDEX(Data!$F$4:$AZ$106,MATCH('Summary - 2013'!N$1,Data!$F$4:$F$106,0),MATCH('Summary - 2013'!$C31,Data!$F$4:$AZ$4,0))/$B31</f>
        <v>11441.765621048</v>
      </c>
      <c r="O31" s="223">
        <f>$A31*INDEX(Data!$F$4:$AZ$106,MATCH('Summary - 2013'!O$1,Data!$F$4:$F$106,0),MATCH('Summary - 2013'!$C31,Data!$F$4:$AZ$4,0))/$B31</f>
        <v>9235.9361864000002</v>
      </c>
      <c r="P31" s="222">
        <f>$A31*INDEX(Data!$F$4:$AZ$106,MATCH('Summary - 2013'!P$1,Data!$F$4:$F$106,0),MATCH('Summary - 2013'!$C31,Data!$F$4:$AZ$4,0))/$B31</f>
        <v>80653.712351911992</v>
      </c>
      <c r="Q31" s="223">
        <f>$A31*INDEX(Data!$F$4:$AZ$106,MATCH('Summary - 2013'!Q$1,Data!$F$4:$F$106,0),MATCH('Summary - 2013'!$C31,Data!$F$4:$AZ$4,0))/$B31</f>
        <v>136637.87930828001</v>
      </c>
    </row>
    <row r="32" spans="1:17" ht="30" customHeight="1" x14ac:dyDescent="0.25">
      <c r="A32" s="514">
        <f>HLOOKUP(C32,Data!$4:$11,7,0)</f>
        <v>1.199472232</v>
      </c>
      <c r="B32" s="514">
        <f>IF(HLOOKUP(C32,Data!$4:$11,8,0)=1,1000000,IF(HLOOKUP(C32,Data!$4:$11,8,0)=1000000,1,HLOOKUP(C32,Data!$4:$11,8,0)))</f>
        <v>1</v>
      </c>
      <c r="C32" s="514" t="str">
        <f>+VLOOKUP(E32,'aux - sample'!$A$3:$B$38,2,FALSE)</f>
        <v>UK_NAT</v>
      </c>
      <c r="E32" s="205" t="s">
        <v>306</v>
      </c>
      <c r="F32" s="218">
        <f>$A32*INDEX(Data!$F$4:$AZ$106,MATCH('Summary - 2013'!F$1,Data!$F$4:$F$106,0),MATCH('Summary - 2013'!$C32,Data!$F$4:$AZ$4,0))/$B32</f>
        <v>253251.52928110558</v>
      </c>
      <c r="G32" s="219">
        <f>$A32*INDEX(Data!$F$4:$AZ$106,MATCH('Summary - 2013'!G$1,Data!$F$4:$F$106,0),MATCH('Summary - 2013'!$C32,Data!$F$4:$AZ$4,0))/$B32</f>
        <v>2948.3027462559999</v>
      </c>
      <c r="H32" s="220">
        <f>$A32*INDEX(Data!$F$4:$AZ$106,MATCH('Summary - 2013'!H$1,Data!$F$4:$F$106,0),MATCH('Summary - 2013'!$C32,Data!$F$4:$AZ$4,0))/$B32</f>
        <v>7647.8349512320001</v>
      </c>
      <c r="I32" s="221">
        <f>$A32*INDEX(Data!$F$4:$AZ$106,MATCH('Summary - 2013'!I$1,Data!$F$4:$F$106,0),MATCH('Summary - 2013'!$C32,Data!$F$4:$AZ$4,0))/$B32</f>
        <v>37491.903555623998</v>
      </c>
      <c r="J32" s="222">
        <f>$A32*INDEX(Data!$F$4:$AZ$106,MATCH('Summary - 2013'!J$1,Data!$F$4:$F$106,0),MATCH('Summary - 2013'!$C32,Data!$F$4:$AZ$4,0))/$B32</f>
        <v>1021557.7089330708</v>
      </c>
      <c r="K32" s="220">
        <f>$A32*INDEX(Data!$F$4:$AZ$106,MATCH('Summary - 2013'!K$1,Data!$F$4:$F$106,0),MATCH('Summary - 2013'!$C32,Data!$F$4:$AZ$4,0))/$B32</f>
        <v>0</v>
      </c>
      <c r="L32" s="223">
        <f>$A32*INDEX(Data!$F$4:$AZ$106,MATCH('Summary - 2013'!L$1,Data!$F$4:$F$106,0),MATCH('Summary - 2013'!$C32,Data!$F$4:$AZ$4,0))/$B32</f>
        <v>0</v>
      </c>
      <c r="M32" s="222">
        <f>$A32*INDEX(Data!$F$4:$AZ$106,MATCH('Summary - 2013'!M$1,Data!$F$4:$F$106,0),MATCH('Summary - 2013'!$C32,Data!$F$4:$AZ$4,0))/$B32</f>
        <v>134820.6788768</v>
      </c>
      <c r="N32" s="220">
        <f>$A32*INDEX(Data!$F$4:$AZ$106,MATCH('Summary - 2013'!N$1,Data!$F$4:$F$106,0),MATCH('Summary - 2013'!$C32,Data!$F$4:$AZ$4,0))/$B32</f>
        <v>3418.4958612</v>
      </c>
      <c r="O32" s="223">
        <f>$A32*INDEX(Data!$F$4:$AZ$106,MATCH('Summary - 2013'!O$1,Data!$F$4:$F$106,0),MATCH('Summary - 2013'!$C32,Data!$F$4:$AZ$4,0))/$B32</f>
        <v>98.356723024000004</v>
      </c>
      <c r="P32" s="222">
        <f>$A32*INDEX(Data!$F$4:$AZ$106,MATCH('Summary - 2013'!P$1,Data!$F$4:$F$106,0),MATCH('Summary - 2013'!$C32,Data!$F$4:$AZ$4,0))/$B32</f>
        <v>7904.5220088799997</v>
      </c>
      <c r="Q32" s="223">
        <f>$A32*INDEX(Data!$F$4:$AZ$106,MATCH('Summary - 2013'!Q$1,Data!$F$4:$F$106,0),MATCH('Summary - 2013'!$C32,Data!$F$4:$AZ$4,0))/$B32</f>
        <v>7903.3225366480001</v>
      </c>
    </row>
    <row r="33" spans="1:18" ht="30" customHeight="1" x14ac:dyDescent="0.25">
      <c r="A33" s="514">
        <f>HLOOKUP(C33,Data!$4:$11,7,0)</f>
        <v>1</v>
      </c>
      <c r="B33" s="514">
        <f>IF(HLOOKUP(C33,Data!$4:$11,8,0)=1,1000000,IF(HLOOKUP(C33,Data!$4:$11,8,0)=1000000,1,HLOOKUP(C33,Data!$4:$11,8,0)))</f>
        <v>1</v>
      </c>
      <c r="C33" s="514" t="str">
        <f>+VLOOKUP(E33,'aux - sample'!$A$3:$B$38,2,FALSE)</f>
        <v>SE_NOR</v>
      </c>
      <c r="E33" s="205" t="s">
        <v>284</v>
      </c>
      <c r="F33" s="218">
        <f>$A33*INDEX(Data!$F$4:$AZ$106,MATCH('Summary - 2013'!F$1,Data!$F$4:$F$106,0),MATCH('Summary - 2013'!$C33,Data!$F$4:$AZ$4,0))/$B33</f>
        <v>663362.29999999993</v>
      </c>
      <c r="G33" s="219">
        <f>$A33*INDEX(Data!$F$4:$AZ$106,MATCH('Summary - 2013'!G$1,Data!$F$4:$F$106,0),MATCH('Summary - 2013'!$C33,Data!$F$4:$AZ$4,0))/$B33</f>
        <v>91594</v>
      </c>
      <c r="H33" s="220">
        <f>$A33*INDEX(Data!$F$4:$AZ$106,MATCH('Summary - 2013'!H$1,Data!$F$4:$F$106,0),MATCH('Summary - 2013'!$C33,Data!$F$4:$AZ$4,0))/$B33</f>
        <v>66764</v>
      </c>
      <c r="I33" s="221">
        <f>$A33*INDEX(Data!$F$4:$AZ$106,MATCH('Summary - 2013'!I$1,Data!$F$4:$F$106,0),MATCH('Summary - 2013'!$C33,Data!$F$4:$AZ$4,0))/$B33</f>
        <v>234109</v>
      </c>
      <c r="J33" s="222">
        <f>$A33*INDEX(Data!$F$4:$AZ$106,MATCH('Summary - 2013'!J$1,Data!$F$4:$F$106,0),MATCH('Summary - 2013'!$C33,Data!$F$4:$AZ$4,0))/$B33</f>
        <v>13532755.093936101</v>
      </c>
      <c r="K33" s="220">
        <f>$A33*INDEX(Data!$F$4:$AZ$106,MATCH('Summary - 2013'!K$1,Data!$F$4:$F$106,0),MATCH('Summary - 2013'!$C33,Data!$F$4:$AZ$4,0))/$B33</f>
        <v>627942</v>
      </c>
      <c r="L33" s="223">
        <f>$A33*INDEX(Data!$F$4:$AZ$106,MATCH('Summary - 2013'!L$1,Data!$F$4:$F$106,0),MATCH('Summary - 2013'!$C33,Data!$F$4:$AZ$4,0))/$B33</f>
        <v>37233</v>
      </c>
      <c r="M33" s="222">
        <f>$A33*INDEX(Data!$F$4:$AZ$106,MATCH('Summary - 2013'!M$1,Data!$F$4:$F$106,0),MATCH('Summary - 2013'!$C33,Data!$F$4:$AZ$4,0))/$B33</f>
        <v>6037650</v>
      </c>
      <c r="N33" s="220">
        <f>$A33*INDEX(Data!$F$4:$AZ$106,MATCH('Summary - 2013'!N$1,Data!$F$4:$F$106,0),MATCH('Summary - 2013'!$C33,Data!$F$4:$AZ$4,0))/$B33</f>
        <v>8533</v>
      </c>
      <c r="O33" s="223">
        <f>$A33*INDEX(Data!$F$4:$AZ$106,MATCH('Summary - 2013'!O$1,Data!$F$4:$F$106,0),MATCH('Summary - 2013'!$C33,Data!$F$4:$AZ$4,0))/$B33</f>
        <v>2966</v>
      </c>
      <c r="P33" s="222">
        <f>$A33*INDEX(Data!$F$4:$AZ$106,MATCH('Summary - 2013'!P$1,Data!$F$4:$F$106,0),MATCH('Summary - 2013'!$C33,Data!$F$4:$AZ$4,0))/$B33</f>
        <v>385793</v>
      </c>
      <c r="Q33" s="223">
        <f>$A33*INDEX(Data!$F$4:$AZ$106,MATCH('Summary - 2013'!Q$1,Data!$F$4:$F$106,0),MATCH('Summary - 2013'!$C33,Data!$F$4:$AZ$4,0))/$B33</f>
        <v>312891</v>
      </c>
    </row>
    <row r="34" spans="1:18" ht="30" customHeight="1" x14ac:dyDescent="0.25">
      <c r="A34" s="514">
        <f>HLOOKUP(C34,Data!$4:$11,7,0)</f>
        <v>1</v>
      </c>
      <c r="B34" s="514">
        <f>IF(HLOOKUP(C34,Data!$4:$11,8,0)=1,1000000,IF(HLOOKUP(C34,Data!$4:$11,8,0)=1000000,1,HLOOKUP(C34,Data!$4:$11,8,0)))</f>
        <v>1000</v>
      </c>
      <c r="C34" s="514" t="str">
        <f>+VLOOKUP(E34,'aux - sample'!$A$3:$B$38,2,FALSE)</f>
        <v>DE_NLB</v>
      </c>
      <c r="E34" s="205" t="s">
        <v>537</v>
      </c>
      <c r="F34" s="218">
        <f>$A34*INDEX(Data!$F$4:$AZ$106,MATCH('Summary - 2013'!F$1,Data!$F$4:$F$106,0),MATCH('Summary - 2013'!$C34,Data!$F$4:$AZ$4,0))/$B34</f>
        <v>225518.96919999999</v>
      </c>
      <c r="G34" s="219">
        <f>$A34*INDEX(Data!$F$4:$AZ$106,MATCH('Summary - 2013'!G$1,Data!$F$4:$F$106,0),MATCH('Summary - 2013'!$C34,Data!$F$4:$AZ$4,0))/$B34</f>
        <v>57653.452228000002</v>
      </c>
      <c r="H34" s="220">
        <f>$A34*INDEX(Data!$F$4:$AZ$106,MATCH('Summary - 2013'!H$1,Data!$F$4:$F$106,0),MATCH('Summary - 2013'!$C34,Data!$F$4:$AZ$4,0))/$B34</f>
        <v>50555.728000000003</v>
      </c>
      <c r="I34" s="221">
        <f>$A34*INDEX(Data!$F$4:$AZ$106,MATCH('Summary - 2013'!I$1,Data!$F$4:$F$106,0),MATCH('Summary - 2013'!$C34,Data!$F$4:$AZ$4,0))/$B34</f>
        <v>75994.701000000001</v>
      </c>
      <c r="J34" s="222">
        <f>$A34*INDEX(Data!$F$4:$AZ$106,MATCH('Summary - 2013'!J$1,Data!$F$4:$F$106,0),MATCH('Summary - 2013'!$C34,Data!$F$4:$AZ$4,0))/$B34</f>
        <v>4901116.0484523475</v>
      </c>
      <c r="K34" s="220">
        <f>$A34*INDEX(Data!$F$4:$AZ$106,MATCH('Summary - 2013'!K$1,Data!$F$4:$F$106,0),MATCH('Summary - 2013'!$C34,Data!$F$4:$AZ$4,0))/$B34</f>
        <v>61635.538999999997</v>
      </c>
      <c r="L34" s="223">
        <f>$A34*INDEX(Data!$F$4:$AZ$106,MATCH('Summary - 2013'!L$1,Data!$F$4:$F$106,0),MATCH('Summary - 2013'!$C34,Data!$F$4:$AZ$4,0))/$B34</f>
        <v>9309.33</v>
      </c>
      <c r="M34" s="222">
        <f>$A34*INDEX(Data!$F$4:$AZ$106,MATCH('Summary - 2013'!M$1,Data!$F$4:$F$106,0),MATCH('Summary - 2013'!$C34,Data!$F$4:$AZ$4,0))/$B34</f>
        <v>314917.18800000002</v>
      </c>
      <c r="N34" s="220">
        <f>$A34*INDEX(Data!$F$4:$AZ$106,MATCH('Summary - 2013'!N$1,Data!$F$4:$F$106,0),MATCH('Summary - 2013'!$C34,Data!$F$4:$AZ$4,0))/$B34</f>
        <v>21668.655999999999</v>
      </c>
      <c r="O34" s="223">
        <f>$A34*INDEX(Data!$F$4:$AZ$106,MATCH('Summary - 2013'!O$1,Data!$F$4:$F$106,0),MATCH('Summary - 2013'!$C34,Data!$F$4:$AZ$4,0))/$B34</f>
        <v>414.89400000000001</v>
      </c>
      <c r="P34" s="222">
        <f>$A34*INDEX(Data!$F$4:$AZ$106,MATCH('Summary - 2013'!P$1,Data!$F$4:$F$106,0),MATCH('Summary - 2013'!$C34,Data!$F$4:$AZ$4,0))/$B34</f>
        <v>66154.289000000004</v>
      </c>
      <c r="Q34" s="223">
        <f>$A34*INDEX(Data!$F$4:$AZ$106,MATCH('Summary - 2013'!Q$1,Data!$F$4:$F$106,0),MATCH('Summary - 2013'!$C34,Data!$F$4:$AZ$4,0))/$B34</f>
        <v>28385.895</v>
      </c>
    </row>
    <row r="35" spans="1:18" ht="30" customHeight="1" x14ac:dyDescent="0.25">
      <c r="A35" s="514">
        <f>HLOOKUP(C35,Data!$4:$11,7,0)</f>
        <v>1</v>
      </c>
      <c r="B35" s="514">
        <f>IF(HLOOKUP(C35,Data!$4:$11,8,0)=1,1000000,IF(HLOOKUP(C35,Data!$4:$11,8,0)=1000000,1,HLOOKUP(C35,Data!$4:$11,8,0)))</f>
        <v>1</v>
      </c>
      <c r="C35" s="514" t="str">
        <f>+VLOOKUP(E35,'aux - sample'!$A$3:$B$38,2,FALSE)</f>
        <v>NL_RAB</v>
      </c>
      <c r="E35" s="205" t="s">
        <v>302</v>
      </c>
      <c r="F35" s="218">
        <f>$A35*INDEX(Data!$F$4:$AZ$106,MATCH('Summary - 2013'!F$1,Data!$F$4:$F$106,0),MATCH('Summary - 2013'!$C35,Data!$F$4:$AZ$4,0))/$B35</f>
        <v>731867.1</v>
      </c>
      <c r="G35" s="219">
        <f>$A35*INDEX(Data!$F$4:$AZ$106,MATCH('Summary - 2013'!G$1,Data!$F$4:$F$106,0),MATCH('Summary - 2013'!$C35,Data!$F$4:$AZ$4,0))/$B35</f>
        <v>45189</v>
      </c>
      <c r="H35" s="220">
        <f>$A35*INDEX(Data!$F$4:$AZ$106,MATCH('Summary - 2013'!H$1,Data!$F$4:$F$106,0),MATCH('Summary - 2013'!$C35,Data!$F$4:$AZ$4,0))/$B35</f>
        <v>44298</v>
      </c>
      <c r="I35" s="221">
        <f>$A35*INDEX(Data!$F$4:$AZ$106,MATCH('Summary - 2013'!I$1,Data!$F$4:$F$106,0),MATCH('Summary - 2013'!$C35,Data!$F$4:$AZ$4,0))/$B35</f>
        <v>206914</v>
      </c>
      <c r="J35" s="222">
        <f>$A35*INDEX(Data!$F$4:$AZ$106,MATCH('Summary - 2013'!J$1,Data!$F$4:$F$106,0),MATCH('Summary - 2013'!$C35,Data!$F$4:$AZ$4,0))/$B35</f>
        <v>18966425.467164461</v>
      </c>
      <c r="K35" s="220">
        <f>$A35*INDEX(Data!$F$4:$AZ$106,MATCH('Summary - 2013'!K$1,Data!$F$4:$F$106,0),MATCH('Summary - 2013'!$C35,Data!$F$4:$AZ$4,0))/$B35</f>
        <v>8237</v>
      </c>
      <c r="L35" s="223">
        <f>$A35*INDEX(Data!$F$4:$AZ$106,MATCH('Summary - 2013'!L$1,Data!$F$4:$F$106,0),MATCH('Summary - 2013'!$C35,Data!$F$4:$AZ$4,0))/$B35</f>
        <v>13995</v>
      </c>
      <c r="M35" s="222">
        <f>$A35*INDEX(Data!$F$4:$AZ$106,MATCH('Summary - 2013'!M$1,Data!$F$4:$F$106,0),MATCH('Summary - 2013'!$C35,Data!$F$4:$AZ$4,0))/$B35</f>
        <v>2821127</v>
      </c>
      <c r="N35" s="220">
        <f>$A35*INDEX(Data!$F$4:$AZ$106,MATCH('Summary - 2013'!N$1,Data!$F$4:$F$106,0),MATCH('Summary - 2013'!$C35,Data!$F$4:$AZ$4,0))/$B35</f>
        <v>1521</v>
      </c>
      <c r="O35" s="223">
        <f>$A35*INDEX(Data!$F$4:$AZ$106,MATCH('Summary - 2013'!O$1,Data!$F$4:$F$106,0),MATCH('Summary - 2013'!$C35,Data!$F$4:$AZ$4,0))/$B35</f>
        <v>2438</v>
      </c>
      <c r="P35" s="222">
        <f>$A35*INDEX(Data!$F$4:$AZ$106,MATCH('Summary - 2013'!P$1,Data!$F$4:$F$106,0),MATCH('Summary - 2013'!$C35,Data!$F$4:$AZ$4,0))/$B35</f>
        <v>232168</v>
      </c>
      <c r="Q35" s="223">
        <f>$A35*INDEX(Data!$F$4:$AZ$106,MATCH('Summary - 2013'!Q$1,Data!$F$4:$F$106,0),MATCH('Summary - 2013'!$C35,Data!$F$4:$AZ$4,0))/$B35</f>
        <v>73823</v>
      </c>
    </row>
    <row r="36" spans="1:18" ht="30" customHeight="1" x14ac:dyDescent="0.25">
      <c r="A36" s="514">
        <f>HLOOKUP(C36,Data!$4:$11,7,0)</f>
        <v>1.199472232</v>
      </c>
      <c r="B36" s="514">
        <f>IF(HLOOKUP(C36,Data!$4:$11,8,0)=1,1000000,IF(HLOOKUP(C36,Data!$4:$11,8,0)=1000000,1,HLOOKUP(C36,Data!$4:$11,8,0)))</f>
        <v>1</v>
      </c>
      <c r="C36" s="514" t="str">
        <f>+VLOOKUP(E36,'aux - sample'!$A$3:$B$38,2,FALSE)</f>
        <v>UK_RBS</v>
      </c>
      <c r="E36" s="205" t="s">
        <v>307</v>
      </c>
      <c r="F36" s="218">
        <f>$A36*INDEX(Data!$F$4:$AZ$106,MATCH('Summary - 2013'!F$1,Data!$F$4:$F$106,0),MATCH('Summary - 2013'!$C36,Data!$F$4:$AZ$4,0))/$B36</f>
        <v>1394037.7831221577</v>
      </c>
      <c r="G36" s="219">
        <f>$A36*INDEX(Data!$F$4:$AZ$106,MATCH('Summary - 2013'!G$1,Data!$F$4:$F$106,0),MATCH('Summary - 2013'!$C36,Data!$F$4:$AZ$4,0))/$B36</f>
        <v>208002.87869558399</v>
      </c>
      <c r="H36" s="220">
        <f>$A36*INDEX(Data!$F$4:$AZ$106,MATCH('Summary - 2013'!H$1,Data!$F$4:$F$106,0),MATCH('Summary - 2013'!$C36,Data!$F$4:$AZ$4,0))/$B36</f>
        <v>199022.43009459999</v>
      </c>
      <c r="I36" s="221">
        <f>$A36*INDEX(Data!$F$4:$AZ$106,MATCH('Summary - 2013'!I$1,Data!$F$4:$F$106,0),MATCH('Summary - 2013'!$C36,Data!$F$4:$AZ$4,0))/$B36</f>
        <v>140782.05586984</v>
      </c>
      <c r="J36" s="222">
        <f>$A36*INDEX(Data!$F$4:$AZ$106,MATCH('Summary - 2013'!J$1,Data!$F$4:$F$106,0),MATCH('Summary - 2013'!$C36,Data!$F$4:$AZ$4,0))/$B36</f>
        <v>47446896.829188056</v>
      </c>
      <c r="K36" s="220">
        <f>$A36*INDEX(Data!$F$4:$AZ$106,MATCH('Summary - 2013'!K$1,Data!$F$4:$F$106,0),MATCH('Summary - 2013'!$C36,Data!$F$4:$AZ$4,0))/$B36</f>
        <v>61517.332362583998</v>
      </c>
      <c r="L36" s="223">
        <f>$A36*INDEX(Data!$F$4:$AZ$106,MATCH('Summary - 2013'!L$1,Data!$F$4:$F$106,0),MATCH('Summary - 2013'!$C36,Data!$F$4:$AZ$4,0))/$B36</f>
        <v>115440.806024376</v>
      </c>
      <c r="M36" s="222">
        <f>$A36*INDEX(Data!$F$4:$AZ$106,MATCH('Summary - 2013'!M$1,Data!$F$4:$F$106,0),MATCH('Summary - 2013'!$C36,Data!$F$4:$AZ$4,0))/$B36</f>
        <v>45795869.009315714</v>
      </c>
      <c r="N36" s="220">
        <f>$A36*INDEX(Data!$F$4:$AZ$106,MATCH('Summary - 2013'!N$1,Data!$F$4:$F$106,0),MATCH('Summary - 2013'!$C36,Data!$F$4:$AZ$4,0))/$B36</f>
        <v>38064.051810288001</v>
      </c>
      <c r="O36" s="223">
        <f>$A36*INDEX(Data!$F$4:$AZ$106,MATCH('Summary - 2013'!O$1,Data!$F$4:$F$106,0),MATCH('Summary - 2013'!$C36,Data!$F$4:$AZ$4,0))/$B36</f>
        <v>8109.6317605519998</v>
      </c>
      <c r="P36" s="222">
        <f>$A36*INDEX(Data!$F$4:$AZ$106,MATCH('Summary - 2013'!P$1,Data!$F$4:$F$106,0),MATCH('Summary - 2013'!$C36,Data!$F$4:$AZ$4,0))/$B36</f>
        <v>460958.37822983199</v>
      </c>
      <c r="Q36" s="223">
        <f>$A36*INDEX(Data!$F$4:$AZ$106,MATCH('Summary - 2013'!Q$1,Data!$F$4:$F$106,0),MATCH('Summary - 2013'!$C36,Data!$F$4:$AZ$4,0))/$B36</f>
        <v>346654.67188139202</v>
      </c>
    </row>
    <row r="37" spans="1:18" ht="30" customHeight="1" x14ac:dyDescent="0.25">
      <c r="A37" s="514">
        <f>HLOOKUP(C37,Data!$4:$11,7,0)</f>
        <v>1</v>
      </c>
      <c r="B37" s="514">
        <f>IF(HLOOKUP(C37,Data!$4:$11,8,0)=1,1000000,IF(HLOOKUP(C37,Data!$4:$11,8,0)=1000000,1,HLOOKUP(C37,Data!$4:$11,8,0)))</f>
        <v>1</v>
      </c>
      <c r="C37" s="514" t="str">
        <f>+VLOOKUP(E37,'aux - sample'!$A$3:$B$38,2,FALSE)</f>
        <v>ES_SAN</v>
      </c>
      <c r="E37" s="205" t="s">
        <v>358</v>
      </c>
      <c r="F37" s="218">
        <f>$A37*INDEX(Data!$F$4:$AZ$106,MATCH('Summary - 2013'!F$1,Data!$F$4:$F$106,0),MATCH('Summary - 2013'!$C37,Data!$F$4:$AZ$4,0))/$B37</f>
        <v>1379106.7149738988</v>
      </c>
      <c r="G37" s="219">
        <f>$A37*INDEX(Data!$F$4:$AZ$106,MATCH('Summary - 2013'!G$1,Data!$F$4:$F$106,0),MATCH('Summary - 2013'!$C37,Data!$F$4:$AZ$4,0))/$B37</f>
        <v>102202.22977150943</v>
      </c>
      <c r="H37" s="220">
        <f>$A37*INDEX(Data!$F$4:$AZ$106,MATCH('Summary - 2013'!H$1,Data!$F$4:$F$106,0),MATCH('Summary - 2013'!$C37,Data!$F$4:$AZ$4,0))/$B37</f>
        <v>128858.697</v>
      </c>
      <c r="I37" s="221">
        <f>$A37*INDEX(Data!$F$4:$AZ$106,MATCH('Summary - 2013'!I$1,Data!$F$4:$F$106,0),MATCH('Summary - 2013'!$C37,Data!$F$4:$AZ$4,0))/$B37</f>
        <v>275850.44789999997</v>
      </c>
      <c r="J37" s="222">
        <f>$A37*INDEX(Data!$F$4:$AZ$106,MATCH('Summary - 2013'!J$1,Data!$F$4:$F$106,0),MATCH('Summary - 2013'!$C37,Data!$F$4:$AZ$4,0))/$B37</f>
        <v>11527072.658070989</v>
      </c>
      <c r="K37" s="220">
        <f>$A37*INDEX(Data!$F$4:$AZ$106,MATCH('Summary - 2013'!K$1,Data!$F$4:$F$106,0),MATCH('Summary - 2013'!$C37,Data!$F$4:$AZ$4,0))/$B37</f>
        <v>874230.26794899709</v>
      </c>
      <c r="L37" s="223">
        <f>$A37*INDEX(Data!$F$4:$AZ$106,MATCH('Summary - 2013'!L$1,Data!$F$4:$F$106,0),MATCH('Summary - 2013'!$C37,Data!$F$4:$AZ$4,0))/$B37</f>
        <v>27431.685517187758</v>
      </c>
      <c r="M37" s="222">
        <f>$A37*INDEX(Data!$F$4:$AZ$106,MATCH('Summary - 2013'!M$1,Data!$F$4:$F$106,0),MATCH('Summary - 2013'!$C37,Data!$F$4:$AZ$4,0))/$B37</f>
        <v>3815072</v>
      </c>
      <c r="N37" s="220">
        <f>$A37*INDEX(Data!$F$4:$AZ$106,MATCH('Summary - 2013'!N$1,Data!$F$4:$F$106,0),MATCH('Summary - 2013'!$C37,Data!$F$4:$AZ$4,0))/$B37</f>
        <v>26710.493385524998</v>
      </c>
      <c r="O37" s="223">
        <f>$A37*INDEX(Data!$F$4:$AZ$106,MATCH('Summary - 2013'!O$1,Data!$F$4:$F$106,0),MATCH('Summary - 2013'!$C37,Data!$F$4:$AZ$4,0))/$B37</f>
        <v>1431.3810000000001</v>
      </c>
      <c r="P37" s="222">
        <f>$A37*INDEX(Data!$F$4:$AZ$106,MATCH('Summary - 2013'!P$1,Data!$F$4:$F$106,0),MATCH('Summary - 2013'!$C37,Data!$F$4:$AZ$4,0))/$B37</f>
        <v>732557.54212299967</v>
      </c>
      <c r="Q37" s="223">
        <f>$A37*INDEX(Data!$F$4:$AZ$106,MATCH('Summary - 2013'!Q$1,Data!$F$4:$F$106,0),MATCH('Summary - 2013'!$C37,Data!$F$4:$AZ$4,0))/$B37</f>
        <v>651697.60428600013</v>
      </c>
    </row>
    <row r="38" spans="1:18" ht="30" customHeight="1" x14ac:dyDescent="0.25">
      <c r="A38" s="514">
        <f>HLOOKUP(C38,Data!$4:$11,7,0)</f>
        <v>0.112878283</v>
      </c>
      <c r="B38" s="514">
        <f>IF(HLOOKUP(C38,Data!$4:$11,8,0)=1,1000000,IF(HLOOKUP(C38,Data!$4:$11,8,0)=1000000,1,HLOOKUP(C38,Data!$4:$11,8,0)))</f>
        <v>1000</v>
      </c>
      <c r="C38" s="514" t="str">
        <f>+VLOOKUP(E38,'aux - sample'!$A$3:$B$38,2,FALSE)</f>
        <v>SE_SEB</v>
      </c>
      <c r="E38" s="205" t="s">
        <v>285</v>
      </c>
      <c r="F38" s="218">
        <f>$A38*INDEX(Data!$F$4:$AZ$106,MATCH('Summary - 2013'!F$1,Data!$F$4:$F$106,0),MATCH('Summary - 2013'!$C38,Data!$F$4:$AZ$4,0))/$B38</f>
        <v>281513.48272757203</v>
      </c>
      <c r="G38" s="219">
        <f>$A38*INDEX(Data!$F$4:$AZ$106,MATCH('Summary - 2013'!G$1,Data!$F$4:$F$106,0),MATCH('Summary - 2013'!$C38,Data!$F$4:$AZ$4,0))/$B38</f>
        <v>38748.401933072746</v>
      </c>
      <c r="H38" s="220">
        <f>$A38*INDEX(Data!$F$4:$AZ$106,MATCH('Summary - 2013'!H$1,Data!$F$4:$F$106,0),MATCH('Summary - 2013'!$C38,Data!$F$4:$AZ$4,0))/$B38</f>
        <v>47734.808126290118</v>
      </c>
      <c r="I38" s="221">
        <f>$A38*INDEX(Data!$F$4:$AZ$106,MATCH('Summary - 2013'!I$1,Data!$F$4:$F$106,0),MATCH('Summary - 2013'!$C38,Data!$F$4:$AZ$4,0))/$B38</f>
        <v>104141.74561726932</v>
      </c>
      <c r="J38" s="222">
        <f>$A38*INDEX(Data!$F$4:$AZ$106,MATCH('Summary - 2013'!J$1,Data!$F$4:$F$106,0),MATCH('Summary - 2013'!$C38,Data!$F$4:$AZ$4,0))/$B38</f>
        <v>5428709.1833614521</v>
      </c>
      <c r="K38" s="220">
        <f>$A38*INDEX(Data!$F$4:$AZ$106,MATCH('Summary - 2013'!K$1,Data!$F$4:$F$106,0),MATCH('Summary - 2013'!$C38,Data!$F$4:$AZ$4,0))/$B38</f>
        <v>672528.81011399999</v>
      </c>
      <c r="L38" s="223">
        <f>$A38*INDEX(Data!$F$4:$AZ$106,MATCH('Summary - 2013'!L$1,Data!$F$4:$F$106,0),MATCH('Summary - 2013'!$C38,Data!$F$4:$AZ$4,0))/$B38</f>
        <v>20149.226632975548</v>
      </c>
      <c r="M38" s="222">
        <f>$A38*INDEX(Data!$F$4:$AZ$106,MATCH('Summary - 2013'!M$1,Data!$F$4:$F$106,0),MATCH('Summary - 2013'!$C38,Data!$F$4:$AZ$4,0))/$B38</f>
        <v>1392197.145655635</v>
      </c>
      <c r="N38" s="220">
        <f>$A38*INDEX(Data!$F$4:$AZ$106,MATCH('Summary - 2013'!N$1,Data!$F$4:$F$106,0),MATCH('Summary - 2013'!$C38,Data!$F$4:$AZ$4,0))/$B38</f>
        <v>21240.344523957374</v>
      </c>
      <c r="O38" s="223">
        <f>$A38*INDEX(Data!$F$4:$AZ$106,MATCH('Summary - 2013'!O$1,Data!$F$4:$F$106,0),MATCH('Summary - 2013'!$C38,Data!$F$4:$AZ$4,0))/$B38</f>
        <v>2907.1801786649999</v>
      </c>
      <c r="P38" s="222">
        <f>$A38*INDEX(Data!$F$4:$AZ$106,MATCH('Summary - 2013'!P$1,Data!$F$4:$F$106,0),MATCH('Summary - 2013'!$C38,Data!$F$4:$AZ$4,0))/$B38</f>
        <v>123824.71110175231</v>
      </c>
      <c r="Q38" s="223">
        <f>$A38*INDEX(Data!$F$4:$AZ$106,MATCH('Summary - 2013'!Q$1,Data!$F$4:$F$106,0),MATCH('Summary - 2013'!$C38,Data!$F$4:$AZ$4,0))/$B38</f>
        <v>139191.32758651418</v>
      </c>
    </row>
    <row r="39" spans="1:18" ht="30" customHeight="1" x14ac:dyDescent="0.25">
      <c r="A39" s="514">
        <f>HLOOKUP(C39,Data!$4:$11,7,0)</f>
        <v>1</v>
      </c>
      <c r="B39" s="514">
        <f>IF(HLOOKUP(C39,Data!$4:$11,8,0)=1,1000000,IF(HLOOKUP(C39,Data!$4:$11,8,0)=1000000,1,HLOOKUP(C39,Data!$4:$11,8,0)))</f>
        <v>1</v>
      </c>
      <c r="C39" s="514" t="str">
        <f>+VLOOKUP(E39,'aux - sample'!$A$3:$B$38,2,FALSE)</f>
        <v>FR_SOC</v>
      </c>
      <c r="E39" s="205" t="s">
        <v>363</v>
      </c>
      <c r="F39" s="218">
        <f>$A39*INDEX(Data!$F$4:$AZ$106,MATCH('Summary - 2013'!F$1,Data!$F$4:$F$106,0),MATCH('Summary - 2013'!$C39,Data!$F$4:$AZ$4,0))/$B39</f>
        <v>1296685.1514638928</v>
      </c>
      <c r="G39" s="219">
        <f>$A39*INDEX(Data!$F$4:$AZ$106,MATCH('Summary - 2013'!G$1,Data!$F$4:$F$106,0),MATCH('Summary - 2013'!$C39,Data!$F$4:$AZ$4,0))/$B39</f>
        <v>109774.20223207081</v>
      </c>
      <c r="H39" s="220">
        <f>$A39*INDEX(Data!$F$4:$AZ$106,MATCH('Summary - 2013'!H$1,Data!$F$4:$F$106,0),MATCH('Summary - 2013'!$C39,Data!$F$4:$AZ$4,0))/$B39</f>
        <v>199270.2869361396</v>
      </c>
      <c r="I39" s="221">
        <f>$A39*INDEX(Data!$F$4:$AZ$106,MATCH('Summary - 2013'!I$1,Data!$F$4:$F$106,0),MATCH('Summary - 2013'!$C39,Data!$F$4:$AZ$4,0))/$B39</f>
        <v>220094.46593405452</v>
      </c>
      <c r="J39" s="222">
        <f>$A39*INDEX(Data!$F$4:$AZ$106,MATCH('Summary - 2013'!J$1,Data!$F$4:$F$106,0),MATCH('Summary - 2013'!$C39,Data!$F$4:$AZ$4,0))/$B39</f>
        <v>23531908.421071917</v>
      </c>
      <c r="K39" s="220">
        <f>$A39*INDEX(Data!$F$4:$AZ$106,MATCH('Summary - 2013'!K$1,Data!$F$4:$F$106,0),MATCH('Summary - 2013'!$C39,Data!$F$4:$AZ$4,0))/$B39</f>
        <v>3545000</v>
      </c>
      <c r="L39" s="223">
        <f>$A39*INDEX(Data!$F$4:$AZ$106,MATCH('Summary - 2013'!L$1,Data!$F$4:$F$106,0),MATCH('Summary - 2013'!$C39,Data!$F$4:$AZ$4,0))/$B39</f>
        <v>77258.167379000006</v>
      </c>
      <c r="M39" s="222">
        <f>$A39*INDEX(Data!$F$4:$AZ$106,MATCH('Summary - 2013'!M$1,Data!$F$4:$F$106,0),MATCH('Summary - 2013'!$C39,Data!$F$4:$AZ$4,0))/$B39</f>
        <v>18272869.093686</v>
      </c>
      <c r="N39" s="220">
        <f>$A39*INDEX(Data!$F$4:$AZ$106,MATCH('Summary - 2013'!N$1,Data!$F$4:$F$106,0),MATCH('Summary - 2013'!$C39,Data!$F$4:$AZ$4,0))/$B39</f>
        <v>122708.93119838923</v>
      </c>
      <c r="O39" s="223">
        <f>$A39*INDEX(Data!$F$4:$AZ$106,MATCH('Summary - 2013'!O$1,Data!$F$4:$F$106,0),MATCH('Summary - 2013'!$C39,Data!$F$4:$AZ$4,0))/$B39</f>
        <v>5780.6083840000001</v>
      </c>
      <c r="P39" s="222">
        <f>$A39*INDEX(Data!$F$4:$AZ$106,MATCH('Summary - 2013'!P$1,Data!$F$4:$F$106,0),MATCH('Summary - 2013'!$C39,Data!$F$4:$AZ$4,0))/$B39</f>
        <v>438088</v>
      </c>
      <c r="Q39" s="223">
        <f>$A39*INDEX(Data!$F$4:$AZ$106,MATCH('Summary - 2013'!Q$1,Data!$F$4:$F$106,0),MATCH('Summary - 2013'!$C39,Data!$F$4:$AZ$4,0))/$B39</f>
        <v>348589.91049861</v>
      </c>
      <c r="R39" s="2"/>
    </row>
    <row r="40" spans="1:18" ht="30" customHeight="1" x14ac:dyDescent="0.25">
      <c r="A40" s="514">
        <f>HLOOKUP(C40,Data!$4:$11,7,0)</f>
        <v>0.72511057899999998</v>
      </c>
      <c r="B40" s="514">
        <f>IF(HLOOKUP(C40,Data!$4:$11,8,0)=1,1000000,IF(HLOOKUP(C40,Data!$4:$11,8,0)=1000000,1,HLOOKUP(C40,Data!$4:$11,8,0)))</f>
        <v>1</v>
      </c>
      <c r="C40" s="514" t="str">
        <f>+VLOOKUP(E40,'aux - sample'!$A$3:$B$38,2,FALSE)</f>
        <v>UK_STC</v>
      </c>
      <c r="E40" s="205" t="s">
        <v>368</v>
      </c>
      <c r="F40" s="218">
        <f>$A40*INDEX(Data!$F$4:$AZ$106,MATCH('Summary - 2013'!F$1,Data!$F$4:$F$106,0),MATCH('Summary - 2013'!$C40,Data!$F$4:$AZ$4,0))/$B40</f>
        <v>583762.79493429174</v>
      </c>
      <c r="G40" s="219">
        <f>$A40*INDEX(Data!$F$4:$AZ$106,MATCH('Summary - 2013'!G$1,Data!$F$4:$F$106,0),MATCH('Summary - 2013'!$C40,Data!$F$4:$AZ$4,0))/$B40</f>
        <v>138732.74425649073</v>
      </c>
      <c r="H40" s="220">
        <f>$A40*INDEX(Data!$F$4:$AZ$106,MATCH('Summary - 2013'!H$1,Data!$F$4:$F$106,0),MATCH('Summary - 2013'!$C40,Data!$F$4:$AZ$4,0))/$B40</f>
        <v>87292.0008025555</v>
      </c>
      <c r="I40" s="221">
        <f>$A40*INDEX(Data!$F$4:$AZ$106,MATCH('Summary - 2013'!I$1,Data!$F$4:$F$106,0),MATCH('Summary - 2013'!$C40,Data!$F$4:$AZ$4,0))/$B40</f>
        <v>90505.5470505798</v>
      </c>
      <c r="J40" s="222">
        <f>$A40*INDEX(Data!$F$4:$AZ$106,MATCH('Summary - 2013'!J$1,Data!$F$4:$F$106,0),MATCH('Summary - 2013'!$C40,Data!$F$4:$AZ$4,0))/$B40</f>
        <v>14221183.393390618</v>
      </c>
      <c r="K40" s="220">
        <f>$A40*INDEX(Data!$F$4:$AZ$106,MATCH('Summary - 2013'!K$1,Data!$F$4:$F$106,0),MATCH('Summary - 2013'!$C40,Data!$F$4:$AZ$4,0))/$B40</f>
        <v>587922.47305757832</v>
      </c>
      <c r="L40" s="223">
        <f>$A40*INDEX(Data!$F$4:$AZ$106,MATCH('Summary - 2013'!L$1,Data!$F$4:$F$106,0),MATCH('Summary - 2013'!$C40,Data!$F$4:$AZ$4,0))/$B40</f>
        <v>88362.700267519001</v>
      </c>
      <c r="M40" s="222">
        <f>$A40*INDEX(Data!$F$4:$AZ$106,MATCH('Summary - 2013'!M$1,Data!$F$4:$F$106,0),MATCH('Summary - 2013'!$C40,Data!$F$4:$AZ$4,0))/$B40</f>
        <v>3970144.2950158538</v>
      </c>
      <c r="N40" s="220">
        <f>$A40*INDEX(Data!$F$4:$AZ$106,MATCH('Summary - 2013'!N$1,Data!$F$4:$F$106,0),MATCH('Summary - 2013'!$C40,Data!$F$4:$AZ$4,0))/$B40</f>
        <v>48551.229038102996</v>
      </c>
      <c r="O40" s="223">
        <f>$A40*INDEX(Data!$F$4:$AZ$106,MATCH('Summary - 2013'!O$1,Data!$F$4:$F$106,0),MATCH('Summary - 2013'!$C40,Data!$F$4:$AZ$4,0))/$B40</f>
        <v>3236.8936246559997</v>
      </c>
      <c r="P40" s="222">
        <f>$A40*INDEX(Data!$F$4:$AZ$106,MATCH('Summary - 2013'!P$1,Data!$F$4:$F$106,0),MATCH('Summary - 2013'!$C40,Data!$F$4:$AZ$4,0))/$B40</f>
        <v>396599.95629462897</v>
      </c>
      <c r="Q40" s="223">
        <f>$A40*INDEX(Data!$F$4:$AZ$106,MATCH('Summary - 2013'!Q$1,Data!$F$4:$F$106,0),MATCH('Summary - 2013'!$C40,Data!$F$4:$AZ$4,0))/$B40</f>
        <v>361186.280726848</v>
      </c>
      <c r="R40" s="2"/>
    </row>
    <row r="41" spans="1:18" ht="30" customHeight="1" x14ac:dyDescent="0.25">
      <c r="A41" s="514">
        <f>HLOOKUP(C41,Data!$4:$11,7,0)</f>
        <v>0.112878283</v>
      </c>
      <c r="B41" s="514">
        <f>IF(HLOOKUP(C41,Data!$4:$11,8,0)=1,1000000,IF(HLOOKUP(C41,Data!$4:$11,8,0)=1000000,1,HLOOKUP(C41,Data!$4:$11,8,0)))</f>
        <v>1000</v>
      </c>
      <c r="C41" s="514" t="str">
        <f>+VLOOKUP(E41,'aux - sample'!$A$3:$B$38,2,FALSE)</f>
        <v>SE_SWE</v>
      </c>
      <c r="E41" s="205" t="s">
        <v>287</v>
      </c>
      <c r="F41" s="218">
        <f>$A41*INDEX(Data!$F$4:$AZ$106,MATCH('Summary - 2013'!F$1,Data!$F$4:$F$106,0),MATCH('Summary - 2013'!$C41,Data!$F$4:$AZ$4,0))/$B41</f>
        <v>218642.36201695254</v>
      </c>
      <c r="G41" s="219">
        <f>$A41*INDEX(Data!$F$4:$AZ$106,MATCH('Summary - 2013'!G$1,Data!$F$4:$F$106,0),MATCH('Summary - 2013'!$C41,Data!$F$4:$AZ$4,0))/$B41</f>
        <v>23202.732020163341</v>
      </c>
      <c r="H41" s="220">
        <f>$A41*INDEX(Data!$F$4:$AZ$106,MATCH('Summary - 2013'!H$1,Data!$F$4:$F$106,0),MATCH('Summary - 2013'!$C41,Data!$F$4:$AZ$4,0))/$B41</f>
        <v>18355.597577633223</v>
      </c>
      <c r="I41" s="221">
        <f>$A41*INDEX(Data!$F$4:$AZ$106,MATCH('Summary - 2013'!I$1,Data!$F$4:$F$106,0),MATCH('Summary - 2013'!$C41,Data!$F$4:$AZ$4,0))/$B41</f>
        <v>84953.317005785037</v>
      </c>
      <c r="J41" s="222">
        <f>$A41*INDEX(Data!$F$4:$AZ$106,MATCH('Summary - 2013'!J$1,Data!$F$4:$F$106,0),MATCH('Summary - 2013'!$C41,Data!$F$4:$AZ$4,0))/$B41</f>
        <v>3043025.4850084134</v>
      </c>
      <c r="K41" s="220">
        <f>$A41*INDEX(Data!$F$4:$AZ$106,MATCH('Summary - 2013'!K$1,Data!$F$4:$F$106,0),MATCH('Summary - 2013'!$C41,Data!$F$4:$AZ$4,0))/$B41</f>
        <v>169762.10262620778</v>
      </c>
      <c r="L41" s="223">
        <f>$A41*INDEX(Data!$F$4:$AZ$106,MATCH('Summary - 2013'!L$1,Data!$F$4:$F$106,0),MATCH('Summary - 2013'!$C41,Data!$F$4:$AZ$4,0))/$B41</f>
        <v>35.086633974587997</v>
      </c>
      <c r="M41" s="222">
        <f>$A41*INDEX(Data!$F$4:$AZ$106,MATCH('Summary - 2013'!M$1,Data!$F$4:$F$106,0),MATCH('Summary - 2013'!$C41,Data!$F$4:$AZ$4,0))/$B41</f>
        <v>1433273.1693765672</v>
      </c>
      <c r="N41" s="220">
        <f>$A41*INDEX(Data!$F$4:$AZ$106,MATCH('Summary - 2013'!N$1,Data!$F$4:$F$106,0),MATCH('Summary - 2013'!$C41,Data!$F$4:$AZ$4,0))/$B41</f>
        <v>4362.0981681187113</v>
      </c>
      <c r="O41" s="223">
        <f>$A41*INDEX(Data!$F$4:$AZ$106,MATCH('Summary - 2013'!O$1,Data!$F$4:$F$106,0),MATCH('Summary - 2013'!$C41,Data!$F$4:$AZ$4,0))/$B41</f>
        <v>21.44687377</v>
      </c>
      <c r="P41" s="222">
        <f>$A41*INDEX(Data!$F$4:$AZ$106,MATCH('Summary - 2013'!P$1,Data!$F$4:$F$106,0),MATCH('Summary - 2013'!$C41,Data!$F$4:$AZ$4,0))/$B41</f>
        <v>32446.085003634529</v>
      </c>
      <c r="Q41" s="223">
        <f>$A41*INDEX(Data!$F$4:$AZ$106,MATCH('Summary - 2013'!Q$1,Data!$F$4:$F$106,0),MATCH('Summary - 2013'!$C41,Data!$F$4:$AZ$4,0))/$B41</f>
        <v>144960.29954652203</v>
      </c>
    </row>
    <row r="42" spans="1:18" ht="30" customHeight="1" thickBot="1" x14ac:dyDescent="0.3">
      <c r="A42" s="514">
        <f>HLOOKUP(C42,Data!$4:$11,7,0)</f>
        <v>1</v>
      </c>
      <c r="B42" s="514">
        <f>IF(HLOOKUP(C42,Data!$4:$11,8,0)=1,1000000,IF(HLOOKUP(C42,Data!$4:$11,8,0)=1000000,1,HLOOKUP(C42,Data!$4:$11,8,0)))</f>
        <v>1000</v>
      </c>
      <c r="C42" s="514" t="str">
        <f>+VLOOKUP(E42,'aux - sample'!$A$3:$B$38,2,FALSE)</f>
        <v>IT_UNI</v>
      </c>
      <c r="E42" s="205" t="s">
        <v>299</v>
      </c>
      <c r="F42" s="224">
        <f>$A42*INDEX(Data!$F$4:$AZ$106,MATCH('Summary - 2013'!F$1,Data!$F$4:$F$106,0),MATCH('Summary - 2013'!$C42,Data!$F$4:$AZ$4,0))/$B42</f>
        <v>1004589.7801410151</v>
      </c>
      <c r="G42" s="225">
        <f>$A42*INDEX(Data!$F$4:$AZ$106,MATCH('Summary - 2013'!G$1,Data!$F$4:$F$106,0),MATCH('Summary - 2013'!$C42,Data!$F$4:$AZ$4,0))/$B42</f>
        <v>143438.99851471002</v>
      </c>
      <c r="H42" s="226">
        <f>$A42*INDEX(Data!$F$4:$AZ$106,MATCH('Summary - 2013'!H$1,Data!$F$4:$F$106,0),MATCH('Summary - 2013'!$C42,Data!$F$4:$AZ$4,0))/$B42</f>
        <v>106319.15267708609</v>
      </c>
      <c r="I42" s="227">
        <f>$A42*INDEX(Data!$F$4:$AZ$106,MATCH('Summary - 2013'!I$1,Data!$F$4:$F$106,0),MATCH('Summary - 2013'!$C42,Data!$F$4:$AZ$4,0))/$B42</f>
        <v>195001.283</v>
      </c>
      <c r="J42" s="228">
        <f>$A42*INDEX(Data!$F$4:$AZ$106,MATCH('Summary - 2013'!J$1,Data!$F$4:$F$106,0),MATCH('Summary - 2013'!$C42,Data!$F$4:$AZ$4,0))/$B42</f>
        <v>6969024.1521668797</v>
      </c>
      <c r="K42" s="226">
        <f>$A42*INDEX(Data!$F$4:$AZ$106,MATCH('Summary - 2013'!K$1,Data!$F$4:$F$106,0),MATCH('Summary - 2013'!$C42,Data!$F$4:$AZ$4,0))/$B42</f>
        <v>504908.152</v>
      </c>
      <c r="L42" s="229">
        <f>$A42*INDEX(Data!$F$4:$AZ$106,MATCH('Summary - 2013'!L$1,Data!$F$4:$F$106,0),MATCH('Summary - 2013'!$C42,Data!$F$4:$AZ$4,0))/$B42</f>
        <v>62564.722000000002</v>
      </c>
      <c r="M42" s="228">
        <f>$A42*INDEX(Data!$F$4:$AZ$106,MATCH('Summary - 2013'!M$1,Data!$F$4:$F$106,0),MATCH('Summary - 2013'!$C42,Data!$F$4:$AZ$4,0))/$B42</f>
        <v>2704552.5159999998</v>
      </c>
      <c r="N42" s="226">
        <f>$A42*INDEX(Data!$F$4:$AZ$106,MATCH('Summary - 2013'!N$1,Data!$F$4:$F$106,0),MATCH('Summary - 2013'!$C42,Data!$F$4:$AZ$4,0))/$B42</f>
        <v>5254.7049999999999</v>
      </c>
      <c r="O42" s="229">
        <f>$A42*INDEX(Data!$F$4:$AZ$106,MATCH('Summary - 2013'!O$1,Data!$F$4:$F$106,0),MATCH('Summary - 2013'!$C42,Data!$F$4:$AZ$4,0))/$B42</f>
        <v>7412</v>
      </c>
      <c r="P42" s="228">
        <f>$A42*INDEX(Data!$F$4:$AZ$106,MATCH('Summary - 2013'!P$1,Data!$F$4:$F$106,0),MATCH('Summary - 2013'!$C42,Data!$F$4:$AZ$4,0))/$B42</f>
        <v>433361.88494366989</v>
      </c>
      <c r="Q42" s="229">
        <f>$A42*INDEX(Data!$F$4:$AZ$106,MATCH('Summary - 2013'!Q$1,Data!$F$4:$F$106,0),MATCH('Summary - 2013'!$C42,Data!$F$4:$AZ$4,0))/$B42</f>
        <v>410000.17754658993</v>
      </c>
    </row>
    <row r="43" spans="1:18" x14ac:dyDescent="0.25">
      <c r="F43" s="3"/>
      <c r="G43" s="5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8" x14ac:dyDescent="0.25">
      <c r="F44" s="3"/>
      <c r="G44" s="5"/>
      <c r="H44" s="2"/>
      <c r="I44" s="2"/>
      <c r="J44" s="2"/>
      <c r="K44" s="2"/>
      <c r="L44" s="2"/>
      <c r="M44" s="2"/>
      <c r="N44" s="2"/>
      <c r="O44" s="2"/>
      <c r="P44" s="7" t="s">
        <v>372</v>
      </c>
      <c r="Q44" s="51">
        <f ca="1">+NOW()</f>
        <v>42212.814714930559</v>
      </c>
    </row>
    <row r="45" spans="1:18" x14ac:dyDescent="0.25">
      <c r="F45" s="3"/>
      <c r="G45" s="5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8" x14ac:dyDescent="0.25">
      <c r="F46" s="3"/>
      <c r="G46" s="5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8" x14ac:dyDescent="0.25">
      <c r="F47" s="3"/>
      <c r="G47" s="5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8" x14ac:dyDescent="0.25">
      <c r="F48" s="3"/>
      <c r="G48" s="5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6:17" x14ac:dyDescent="0.25">
      <c r="F49" s="3"/>
      <c r="G49" s="5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6:17" x14ac:dyDescent="0.25">
      <c r="F50" s="3"/>
      <c r="G50" s="5"/>
      <c r="H50" s="2"/>
      <c r="I50" s="2"/>
      <c r="J50" s="2"/>
      <c r="K50" s="2"/>
      <c r="L50" s="2"/>
      <c r="M50" s="2"/>
      <c r="N50" s="2"/>
      <c r="O50" s="2"/>
      <c r="P50" s="2"/>
      <c r="Q50" s="2"/>
    </row>
  </sheetData>
  <mergeCells count="7">
    <mergeCell ref="P4:Q4"/>
    <mergeCell ref="F2:Q2"/>
    <mergeCell ref="F3:Q3"/>
    <mergeCell ref="F5:Q5"/>
    <mergeCell ref="G4:I4"/>
    <mergeCell ref="J4:L4"/>
    <mergeCell ref="M4:O4"/>
  </mergeCells>
  <printOptions horizontalCentered="1" verticalCentered="1"/>
  <pageMargins left="0.15748031496062992" right="0.15748031496062992" top="0.55118110236220474" bottom="0.55118110236220474" header="0.23622047244094491" footer="0.23622047244094491"/>
  <pageSetup paperSize="9" scale="40" orientation="landscape" r:id="rId1"/>
  <headerFooter>
    <oddFooter>&amp;LEuropean Banking Authority&amp;CMinimum level of disclosure, as prescribed by the BCBS documents and methodology - 12 Indicators for assessing systemic importance&amp;REnd-2013 G-SII disclosure exercise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249977111117893"/>
  </sheetPr>
  <dimension ref="A1:V170"/>
  <sheetViews>
    <sheetView showGridLines="0" view="pageBreakPreview" zoomScale="90" zoomScaleNormal="100" zoomScaleSheetLayoutView="90" workbookViewId="0">
      <selection activeCell="I42" sqref="I42"/>
    </sheetView>
  </sheetViews>
  <sheetFormatPr defaultColWidth="0" defaultRowHeight="15" zeroHeight="1" x14ac:dyDescent="0.25"/>
  <cols>
    <col min="1" max="1" width="1.28515625" style="52" customWidth="1"/>
    <col min="2" max="20" width="9.140625" style="52" customWidth="1"/>
    <col min="21" max="21" width="3.5703125" style="52" customWidth="1"/>
    <col min="22" max="22" width="1.85546875" style="52" customWidth="1"/>
    <col min="23" max="16384" width="9.140625" style="52" hidden="1"/>
  </cols>
  <sheetData>
    <row r="1" spans="2:21" ht="9.9499999999999993" customHeight="1" x14ac:dyDescent="0.25"/>
    <row r="2" spans="2:21" s="243" customFormat="1" ht="24.95" customHeight="1" x14ac:dyDescent="0.25">
      <c r="B2" s="246" t="s">
        <v>380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2:21" x14ac:dyDescent="0.25"/>
    <row r="4" spans="2:21" x14ac:dyDescent="0.25"/>
    <row r="5" spans="2:21" x14ac:dyDescent="0.25"/>
    <row r="6" spans="2:21" x14ac:dyDescent="0.25"/>
    <row r="7" spans="2:21" x14ac:dyDescent="0.25"/>
    <row r="8" spans="2:21" x14ac:dyDescent="0.25"/>
    <row r="9" spans="2:21" x14ac:dyDescent="0.25"/>
    <row r="10" spans="2:21" x14ac:dyDescent="0.25"/>
    <row r="11" spans="2:21" x14ac:dyDescent="0.25"/>
    <row r="12" spans="2:21" x14ac:dyDescent="0.25"/>
    <row r="13" spans="2:21" x14ac:dyDescent="0.25"/>
    <row r="14" spans="2:21" x14ac:dyDescent="0.25"/>
    <row r="15" spans="2:21" x14ac:dyDescent="0.25"/>
    <row r="16" spans="2:21" x14ac:dyDescent="0.25"/>
    <row r="17" spans="2:21" x14ac:dyDescent="0.25"/>
    <row r="18" spans="2:21" x14ac:dyDescent="0.25"/>
    <row r="19" spans="2:21" x14ac:dyDescent="0.25"/>
    <row r="20" spans="2:21" x14ac:dyDescent="0.25"/>
    <row r="21" spans="2:21" ht="15" customHeight="1" x14ac:dyDescent="0.25"/>
    <row r="22" spans="2:21" s="243" customFormat="1" ht="24.95" customHeight="1" x14ac:dyDescent="0.25">
      <c r="B22" s="245" t="s">
        <v>231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</row>
    <row r="23" spans="2:21" x14ac:dyDescent="0.25"/>
    <row r="24" spans="2:21" x14ac:dyDescent="0.25"/>
    <row r="25" spans="2:21" x14ac:dyDescent="0.25"/>
    <row r="26" spans="2:21" x14ac:dyDescent="0.25"/>
    <row r="27" spans="2:21" x14ac:dyDescent="0.25"/>
    <row r="28" spans="2:21" x14ac:dyDescent="0.25"/>
    <row r="29" spans="2:21" x14ac:dyDescent="0.25"/>
    <row r="30" spans="2:21" x14ac:dyDescent="0.25"/>
    <row r="31" spans="2:21" x14ac:dyDescent="0.25"/>
    <row r="32" spans="2:21" x14ac:dyDescent="0.25"/>
    <row r="33" spans="2:21" x14ac:dyDescent="0.25"/>
    <row r="34" spans="2:21" x14ac:dyDescent="0.25"/>
    <row r="35" spans="2:21" x14ac:dyDescent="0.25"/>
    <row r="36" spans="2:21" x14ac:dyDescent="0.25"/>
    <row r="37" spans="2:21" x14ac:dyDescent="0.25"/>
    <row r="38" spans="2:21" x14ac:dyDescent="0.25"/>
    <row r="39" spans="2:21" ht="27" customHeight="1" x14ac:dyDescent="0.25"/>
    <row r="40" spans="2:21" ht="27" customHeight="1" x14ac:dyDescent="0.25"/>
    <row r="41" spans="2:21" ht="27" customHeight="1" x14ac:dyDescent="0.25"/>
    <row r="42" spans="2:21" ht="9.9499999999999993" customHeight="1" x14ac:dyDescent="0.25"/>
    <row r="43" spans="2:21" s="243" customFormat="1" ht="24.95" customHeight="1" x14ac:dyDescent="0.25">
      <c r="B43" s="244" t="s">
        <v>235</v>
      </c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</row>
    <row r="44" spans="2:21" x14ac:dyDescent="0.25"/>
    <row r="45" spans="2:21" x14ac:dyDescent="0.25"/>
    <row r="46" spans="2:21" x14ac:dyDescent="0.25"/>
    <row r="47" spans="2:21" x14ac:dyDescent="0.25"/>
    <row r="48" spans="2:2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spans="2:21" ht="15" customHeight="1" x14ac:dyDescent="0.25"/>
    <row r="82" spans="2:21" ht="15" customHeight="1" x14ac:dyDescent="0.25"/>
    <row r="83" spans="2:21" ht="15" customHeight="1" x14ac:dyDescent="0.25"/>
    <row r="84" spans="2:21" ht="15" customHeight="1" x14ac:dyDescent="0.25"/>
    <row r="85" spans="2:21" ht="15" customHeight="1" x14ac:dyDescent="0.25"/>
    <row r="86" spans="2:21" ht="15" customHeight="1" x14ac:dyDescent="0.25"/>
    <row r="87" spans="2:21" ht="15" customHeight="1" x14ac:dyDescent="0.25"/>
    <row r="88" spans="2:21" ht="15" customHeight="1" x14ac:dyDescent="0.25"/>
    <row r="89" spans="2:21" ht="15" customHeight="1" x14ac:dyDescent="0.25"/>
    <row r="90" spans="2:21" ht="9.75" customHeight="1" x14ac:dyDescent="0.25"/>
    <row r="91" spans="2:21" s="243" customFormat="1" ht="24.95" customHeight="1" x14ac:dyDescent="0.25">
      <c r="B91" s="242" t="s">
        <v>239</v>
      </c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</row>
    <row r="92" spans="2:21" ht="15" customHeight="1" x14ac:dyDescent="0.25"/>
    <row r="93" spans="2:21" ht="15" customHeight="1" x14ac:dyDescent="0.25"/>
    <row r="94" spans="2:21" ht="15" customHeight="1" x14ac:dyDescent="0.25"/>
    <row r="95" spans="2:21" ht="15" customHeight="1" x14ac:dyDescent="0.25"/>
    <row r="96" spans="2:21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2:21" ht="15" customHeight="1" x14ac:dyDescent="0.25"/>
    <row r="114" spans="2:21" s="53" customFormat="1" ht="24.95" customHeight="1" x14ac:dyDescent="0.3">
      <c r="B114" s="54" t="s">
        <v>242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2:21" ht="15" customHeight="1" x14ac:dyDescent="0.25"/>
    <row r="116" spans="2:21" ht="15" customHeight="1" x14ac:dyDescent="0.25"/>
    <row r="117" spans="2:21" ht="15" customHeight="1" x14ac:dyDescent="0.25"/>
    <row r="118" spans="2:21" ht="15" customHeight="1" x14ac:dyDescent="0.25"/>
    <row r="119" spans="2:21" ht="15" customHeight="1" x14ac:dyDescent="0.25"/>
    <row r="120" spans="2:21" ht="15" customHeight="1" x14ac:dyDescent="0.25"/>
    <row r="121" spans="2:21" ht="15" customHeight="1" x14ac:dyDescent="0.25"/>
    <row r="122" spans="2:21" ht="15" customHeight="1" x14ac:dyDescent="0.25"/>
    <row r="123" spans="2:21" ht="15" customHeight="1" x14ac:dyDescent="0.25"/>
    <row r="124" spans="2:21" ht="15" customHeight="1" x14ac:dyDescent="0.25"/>
    <row r="125" spans="2:21" ht="15" customHeight="1" x14ac:dyDescent="0.25"/>
    <row r="126" spans="2:21" ht="15" customHeight="1" x14ac:dyDescent="0.25"/>
    <row r="127" spans="2:21" ht="15" customHeight="1" x14ac:dyDescent="0.25"/>
    <row r="128" spans="2:21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</sheetData>
  <printOptions horizontalCentered="1"/>
  <pageMargins left="0.70866141732283472" right="0.70866141732283472" top="0.55118110236220474" bottom="0.55118110236220474" header="0.31496062992125984" footer="0.11811023622047245"/>
  <pageSetup paperSize="9" scale="73" fitToHeight="3" orientation="landscape" r:id="rId1"/>
  <headerFooter>
    <oddHeader>&amp;LEuropean Banking Authority&amp;REnd-2013 G-SII disclosure exercise</oddHeader>
  </headerFooter>
  <rowBreaks count="2" manualBreakCount="2">
    <brk id="41" max="20" man="1"/>
    <brk id="89" max="2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R110"/>
  <sheetViews>
    <sheetView showGridLines="0" zoomScale="85" zoomScaleNormal="85" workbookViewId="0">
      <selection activeCell="C42" sqref="C42"/>
    </sheetView>
  </sheetViews>
  <sheetFormatPr defaultColWidth="0" defaultRowHeight="15" zeroHeight="1" x14ac:dyDescent="0.25"/>
  <cols>
    <col min="1" max="1" width="5.7109375" style="249" customWidth="1"/>
    <col min="2" max="2" width="104.28515625" style="264" customWidth="1"/>
    <col min="3" max="3" width="10.7109375" style="264" customWidth="1"/>
    <col min="4" max="4" width="15.140625" style="264" customWidth="1"/>
    <col min="5" max="5" width="10.5703125" style="264" customWidth="1"/>
    <col min="6" max="6" width="11.28515625" style="264" bestFit="1" customWidth="1"/>
    <col min="7" max="42" width="14.7109375" style="249" customWidth="1"/>
    <col min="43" max="44" width="9.140625" customWidth="1"/>
    <col min="45" max="16384" width="9.140625" hidden="1"/>
  </cols>
  <sheetData>
    <row r="1" spans="1:42" x14ac:dyDescent="0.25">
      <c r="A1" s="247"/>
      <c r="B1" s="248"/>
      <c r="C1" s="248"/>
      <c r="D1" s="248"/>
      <c r="E1" s="248"/>
      <c r="F1" s="248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</row>
    <row r="2" spans="1:42" x14ac:dyDescent="0.25">
      <c r="A2" s="247"/>
      <c r="B2" s="248"/>
      <c r="C2" s="248"/>
      <c r="D2" s="248"/>
      <c r="E2" s="248"/>
      <c r="F2" s="248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</row>
    <row r="3" spans="1:42" x14ac:dyDescent="0.25">
      <c r="A3" s="247"/>
      <c r="B3" s="248"/>
      <c r="C3" s="248"/>
      <c r="D3" s="248"/>
      <c r="E3" s="248"/>
      <c r="F3" s="248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</row>
    <row r="4" spans="1:42" x14ac:dyDescent="0.25">
      <c r="A4" s="203">
        <v>1</v>
      </c>
      <c r="B4" s="248"/>
      <c r="C4" s="248"/>
      <c r="D4" s="248"/>
      <c r="E4" s="248"/>
      <c r="F4" s="248"/>
      <c r="G4" s="523" t="s">
        <v>245</v>
      </c>
      <c r="H4" s="524" t="s">
        <v>246</v>
      </c>
      <c r="I4" s="524" t="s">
        <v>247</v>
      </c>
      <c r="J4" s="524" t="s">
        <v>248</v>
      </c>
      <c r="K4" s="524" t="s">
        <v>249</v>
      </c>
      <c r="L4" s="524" t="s">
        <v>250</v>
      </c>
      <c r="M4" s="524" t="s">
        <v>251</v>
      </c>
      <c r="N4" s="524" t="s">
        <v>252</v>
      </c>
      <c r="O4" s="524" t="s">
        <v>253</v>
      </c>
      <c r="P4" s="524" t="s">
        <v>378</v>
      </c>
      <c r="Q4" s="524" t="s">
        <v>254</v>
      </c>
      <c r="R4" s="524" t="s">
        <v>255</v>
      </c>
      <c r="S4" s="524" t="s">
        <v>256</v>
      </c>
      <c r="T4" s="524" t="s">
        <v>257</v>
      </c>
      <c r="U4" s="524" t="s">
        <v>258</v>
      </c>
      <c r="V4" s="524" t="s">
        <v>259</v>
      </c>
      <c r="W4" s="524" t="s">
        <v>260</v>
      </c>
      <c r="X4" s="524" t="s">
        <v>261</v>
      </c>
      <c r="Y4" s="524" t="s">
        <v>262</v>
      </c>
      <c r="Z4" s="524" t="s">
        <v>263</v>
      </c>
      <c r="AA4" s="524" t="s">
        <v>264</v>
      </c>
      <c r="AB4" s="524" t="s">
        <v>265</v>
      </c>
      <c r="AC4" s="524" t="s">
        <v>266</v>
      </c>
      <c r="AD4" s="524" t="s">
        <v>267</v>
      </c>
      <c r="AE4" s="524" t="s">
        <v>268</v>
      </c>
      <c r="AF4" s="524" t="s">
        <v>269</v>
      </c>
      <c r="AG4" s="524" t="s">
        <v>270</v>
      </c>
      <c r="AH4" s="524" t="s">
        <v>271</v>
      </c>
      <c r="AI4" s="524" t="s">
        <v>272</v>
      </c>
      <c r="AJ4" s="524" t="s">
        <v>554</v>
      </c>
      <c r="AK4" s="524" t="s">
        <v>555</v>
      </c>
      <c r="AL4" s="524" t="s">
        <v>560</v>
      </c>
      <c r="AM4" s="524" t="s">
        <v>556</v>
      </c>
      <c r="AN4" s="524" t="s">
        <v>557</v>
      </c>
      <c r="AO4" s="524" t="s">
        <v>558</v>
      </c>
      <c r="AP4" s="524" t="s">
        <v>559</v>
      </c>
    </row>
    <row r="5" spans="1:42" ht="15" customHeight="1" x14ac:dyDescent="0.25">
      <c r="A5" s="8">
        <v>2</v>
      </c>
      <c r="B5" s="9" t="s">
        <v>4</v>
      </c>
      <c r="C5" s="10"/>
      <c r="D5" s="11"/>
      <c r="E5" s="489" t="s">
        <v>5</v>
      </c>
      <c r="F5" s="490" t="s">
        <v>6</v>
      </c>
      <c r="G5" s="525" t="s">
        <v>326</v>
      </c>
      <c r="H5" s="526" t="s">
        <v>274</v>
      </c>
      <c r="I5" s="526" t="s">
        <v>274</v>
      </c>
      <c r="J5" s="526" t="s">
        <v>274</v>
      </c>
      <c r="K5" s="524" t="s">
        <v>275</v>
      </c>
      <c r="L5" s="526" t="s">
        <v>275</v>
      </c>
      <c r="M5" s="524" t="s">
        <v>377</v>
      </c>
      <c r="N5" s="526" t="s">
        <v>274</v>
      </c>
      <c r="O5" s="526" t="s">
        <v>276</v>
      </c>
      <c r="P5" s="526" t="s">
        <v>277</v>
      </c>
      <c r="Q5" s="526" t="s">
        <v>278</v>
      </c>
      <c r="R5" s="526" t="s">
        <v>279</v>
      </c>
      <c r="S5" s="526" t="s">
        <v>279</v>
      </c>
      <c r="T5" s="526" t="s">
        <v>279</v>
      </c>
      <c r="U5" s="526" t="s">
        <v>279</v>
      </c>
      <c r="V5" s="526" t="s">
        <v>279</v>
      </c>
      <c r="W5" s="526" t="s">
        <v>279</v>
      </c>
      <c r="X5" s="526" t="s">
        <v>280</v>
      </c>
      <c r="Y5" s="526" t="s">
        <v>280</v>
      </c>
      <c r="Z5" s="526" t="s">
        <v>280</v>
      </c>
      <c r="AA5" s="526" t="s">
        <v>281</v>
      </c>
      <c r="AB5" s="526" t="s">
        <v>281</v>
      </c>
      <c r="AC5" s="526" t="s">
        <v>281</v>
      </c>
      <c r="AD5" s="526" t="s">
        <v>273</v>
      </c>
      <c r="AE5" s="526" t="s">
        <v>273</v>
      </c>
      <c r="AF5" s="526" t="s">
        <v>273</v>
      </c>
      <c r="AG5" s="526" t="s">
        <v>273</v>
      </c>
      <c r="AH5" s="526" t="s">
        <v>273</v>
      </c>
      <c r="AI5" s="526" t="s">
        <v>273</v>
      </c>
      <c r="AJ5" s="526" t="s">
        <v>529</v>
      </c>
      <c r="AK5" s="526" t="s">
        <v>529</v>
      </c>
      <c r="AL5" s="526" t="s">
        <v>529</v>
      </c>
      <c r="AM5" s="526" t="s">
        <v>529</v>
      </c>
      <c r="AN5" s="526" t="s">
        <v>529</v>
      </c>
      <c r="AO5" s="526" t="s">
        <v>529</v>
      </c>
      <c r="AP5" s="526" t="s">
        <v>529</v>
      </c>
    </row>
    <row r="6" spans="1:42" ht="15" customHeight="1" x14ac:dyDescent="0.25">
      <c r="A6" s="8">
        <v>3</v>
      </c>
      <c r="B6" s="9" t="s">
        <v>7</v>
      </c>
      <c r="C6" s="10"/>
      <c r="D6" s="11"/>
      <c r="E6" s="491"/>
      <c r="F6" s="490" t="s">
        <v>8</v>
      </c>
      <c r="G6" s="525" t="s">
        <v>374</v>
      </c>
      <c r="H6" s="526" t="s">
        <v>283</v>
      </c>
      <c r="I6" s="526" t="s">
        <v>284</v>
      </c>
      <c r="J6" s="526" t="s">
        <v>285</v>
      </c>
      <c r="K6" s="524" t="s">
        <v>356</v>
      </c>
      <c r="L6" s="526" t="s">
        <v>286</v>
      </c>
      <c r="M6" s="524"/>
      <c r="N6" s="526" t="s">
        <v>287</v>
      </c>
      <c r="O6" s="526" t="s">
        <v>288</v>
      </c>
      <c r="P6" s="526" t="s">
        <v>289</v>
      </c>
      <c r="Q6" s="526" t="s">
        <v>290</v>
      </c>
      <c r="R6" s="526" t="s">
        <v>291</v>
      </c>
      <c r="S6" s="526" t="s">
        <v>292</v>
      </c>
      <c r="T6" s="526" t="s">
        <v>293</v>
      </c>
      <c r="U6" s="526" t="s">
        <v>294</v>
      </c>
      <c r="V6" s="526" t="s">
        <v>295</v>
      </c>
      <c r="W6" s="526" t="s">
        <v>296</v>
      </c>
      <c r="X6" s="526" t="s">
        <v>297</v>
      </c>
      <c r="Y6" s="526" t="s">
        <v>298</v>
      </c>
      <c r="Z6" s="526" t="s">
        <v>299</v>
      </c>
      <c r="AA6" s="526" t="s">
        <v>300</v>
      </c>
      <c r="AB6" s="526" t="s">
        <v>301</v>
      </c>
      <c r="AC6" s="526" t="s">
        <v>302</v>
      </c>
      <c r="AD6" s="526" t="s">
        <v>282</v>
      </c>
      <c r="AE6" s="526" t="s">
        <v>303</v>
      </c>
      <c r="AF6" s="526" t="s">
        <v>304</v>
      </c>
      <c r="AG6" s="526" t="s">
        <v>305</v>
      </c>
      <c r="AH6" s="526" t="s">
        <v>306</v>
      </c>
      <c r="AI6" s="526" t="s">
        <v>307</v>
      </c>
      <c r="AJ6" s="526" t="s">
        <v>544</v>
      </c>
      <c r="AK6" s="526" t="s">
        <v>539</v>
      </c>
      <c r="AL6" s="526" t="s">
        <v>545</v>
      </c>
      <c r="AM6" s="526" t="s">
        <v>546</v>
      </c>
      <c r="AN6" s="526" t="s">
        <v>542</v>
      </c>
      <c r="AO6" s="526" t="s">
        <v>543</v>
      </c>
      <c r="AP6" s="526" t="s">
        <v>537</v>
      </c>
    </row>
    <row r="7" spans="1:42" ht="15" customHeight="1" x14ac:dyDescent="0.25">
      <c r="A7" s="8">
        <v>4</v>
      </c>
      <c r="B7" s="12" t="s">
        <v>9</v>
      </c>
      <c r="C7" s="13"/>
      <c r="D7" s="14"/>
      <c r="E7" s="492"/>
      <c r="F7" s="490" t="s">
        <v>10</v>
      </c>
      <c r="G7" s="527">
        <v>41830</v>
      </c>
      <c r="H7" s="528">
        <v>41730</v>
      </c>
      <c r="I7" s="528">
        <v>41823</v>
      </c>
      <c r="J7" s="528">
        <v>41757</v>
      </c>
      <c r="K7" s="529">
        <v>41848</v>
      </c>
      <c r="L7" s="526"/>
      <c r="M7" s="529">
        <v>41848</v>
      </c>
      <c r="N7" s="528">
        <v>41824</v>
      </c>
      <c r="O7" s="528">
        <v>41838</v>
      </c>
      <c r="P7" s="528">
        <v>41754</v>
      </c>
      <c r="Q7" s="528">
        <v>41838</v>
      </c>
      <c r="R7" s="528">
        <v>41849</v>
      </c>
      <c r="S7" s="528">
        <v>41837</v>
      </c>
      <c r="T7" s="528">
        <v>41843</v>
      </c>
      <c r="U7" s="528">
        <v>41843</v>
      </c>
      <c r="V7" s="528">
        <v>41850</v>
      </c>
      <c r="W7" s="528">
        <v>41843</v>
      </c>
      <c r="X7" s="528">
        <v>41709</v>
      </c>
      <c r="Y7" s="528">
        <v>41747</v>
      </c>
      <c r="Z7" s="528">
        <v>41709</v>
      </c>
      <c r="AA7" s="528">
        <v>41768</v>
      </c>
      <c r="AB7" s="528">
        <v>41639</v>
      </c>
      <c r="AC7" s="528">
        <v>41789</v>
      </c>
      <c r="AD7" s="528">
        <v>41851</v>
      </c>
      <c r="AE7" s="528">
        <v>41768</v>
      </c>
      <c r="AF7" s="528">
        <v>41768</v>
      </c>
      <c r="AG7" s="528">
        <v>41768</v>
      </c>
      <c r="AH7" s="528">
        <v>41760</v>
      </c>
      <c r="AI7" s="528">
        <v>41768</v>
      </c>
      <c r="AJ7" s="528">
        <v>41817</v>
      </c>
      <c r="AK7" s="528">
        <v>41855</v>
      </c>
      <c r="AL7" s="528">
        <v>41844</v>
      </c>
      <c r="AM7" s="528">
        <v>41815</v>
      </c>
      <c r="AN7" s="528">
        <v>41820</v>
      </c>
      <c r="AO7" s="528">
        <v>41774</v>
      </c>
      <c r="AP7" s="528">
        <v>41844</v>
      </c>
    </row>
    <row r="8" spans="1:42" ht="15" customHeight="1" x14ac:dyDescent="0.25">
      <c r="A8" s="8">
        <v>5</v>
      </c>
      <c r="B8" s="9" t="s">
        <v>12</v>
      </c>
      <c r="C8" s="10"/>
      <c r="D8" s="11"/>
      <c r="E8" s="493" t="s">
        <v>5</v>
      </c>
      <c r="F8" s="490" t="s">
        <v>13</v>
      </c>
      <c r="G8" s="527">
        <v>41639</v>
      </c>
      <c r="H8" s="528">
        <v>41639</v>
      </c>
      <c r="I8" s="528">
        <v>41639</v>
      </c>
      <c r="J8" s="528">
        <v>41639</v>
      </c>
      <c r="K8" s="529">
        <v>41639</v>
      </c>
      <c r="L8" s="528">
        <v>41639</v>
      </c>
      <c r="M8" s="529">
        <v>41639</v>
      </c>
      <c r="N8" s="528">
        <v>41639</v>
      </c>
      <c r="O8" s="528">
        <v>41639</v>
      </c>
      <c r="P8" s="528">
        <v>41639</v>
      </c>
      <c r="Q8" s="528">
        <v>41639</v>
      </c>
      <c r="R8" s="528">
        <v>41639</v>
      </c>
      <c r="S8" s="528">
        <v>41639</v>
      </c>
      <c r="T8" s="528">
        <v>41639</v>
      </c>
      <c r="U8" s="528">
        <v>41639</v>
      </c>
      <c r="V8" s="528">
        <v>41639</v>
      </c>
      <c r="W8" s="528">
        <v>41639</v>
      </c>
      <c r="X8" s="528">
        <v>41639</v>
      </c>
      <c r="Y8" s="528">
        <v>41639</v>
      </c>
      <c r="Z8" s="528">
        <v>41639</v>
      </c>
      <c r="AA8" s="528">
        <v>41639</v>
      </c>
      <c r="AB8" s="528">
        <v>41639</v>
      </c>
      <c r="AC8" s="528">
        <v>41639</v>
      </c>
      <c r="AD8" s="528">
        <v>41639</v>
      </c>
      <c r="AE8" s="528">
        <v>41639</v>
      </c>
      <c r="AF8" s="528">
        <v>41639</v>
      </c>
      <c r="AG8" s="528">
        <v>41639</v>
      </c>
      <c r="AH8" s="528">
        <v>41639</v>
      </c>
      <c r="AI8" s="528">
        <v>41639</v>
      </c>
      <c r="AJ8" s="528">
        <v>41639</v>
      </c>
      <c r="AK8" s="528">
        <v>41639</v>
      </c>
      <c r="AL8" s="528">
        <v>41639</v>
      </c>
      <c r="AM8" s="528">
        <v>41639</v>
      </c>
      <c r="AN8" s="528">
        <v>41639</v>
      </c>
      <c r="AO8" s="528">
        <v>41639</v>
      </c>
      <c r="AP8" s="528">
        <v>41639</v>
      </c>
    </row>
    <row r="9" spans="1:42" ht="15" customHeight="1" x14ac:dyDescent="0.25">
      <c r="A9" s="8">
        <v>6</v>
      </c>
      <c r="B9" s="9" t="s">
        <v>14</v>
      </c>
      <c r="C9" s="10"/>
      <c r="D9" s="11"/>
      <c r="E9" s="494" t="s">
        <v>5</v>
      </c>
      <c r="F9" s="490" t="s">
        <v>15</v>
      </c>
      <c r="G9" s="525" t="s">
        <v>375</v>
      </c>
      <c r="H9" s="526" t="s">
        <v>169</v>
      </c>
      <c r="I9" s="526" t="s">
        <v>154</v>
      </c>
      <c r="J9" s="526" t="s">
        <v>169</v>
      </c>
      <c r="K9" s="524" t="s">
        <v>154</v>
      </c>
      <c r="L9" s="526" t="s">
        <v>154</v>
      </c>
      <c r="M9" s="524" t="s">
        <v>154</v>
      </c>
      <c r="N9" s="526" t="s">
        <v>169</v>
      </c>
      <c r="O9" s="526" t="s">
        <v>154</v>
      </c>
      <c r="P9" s="526" t="s">
        <v>154</v>
      </c>
      <c r="Q9" s="526" t="s">
        <v>308</v>
      </c>
      <c r="R9" s="526" t="s">
        <v>154</v>
      </c>
      <c r="S9" s="526" t="s">
        <v>154</v>
      </c>
      <c r="T9" s="526" t="s">
        <v>154</v>
      </c>
      <c r="U9" s="526" t="s">
        <v>154</v>
      </c>
      <c r="V9" s="526" t="s">
        <v>154</v>
      </c>
      <c r="W9" s="526" t="s">
        <v>154</v>
      </c>
      <c r="X9" s="526" t="s">
        <v>154</v>
      </c>
      <c r="Y9" s="526" t="s">
        <v>154</v>
      </c>
      <c r="Z9" s="526" t="s">
        <v>154</v>
      </c>
      <c r="AA9" s="526" t="s">
        <v>154</v>
      </c>
      <c r="AB9" s="526" t="s">
        <v>154</v>
      </c>
      <c r="AC9" s="526" t="s">
        <v>154</v>
      </c>
      <c r="AD9" s="526" t="s">
        <v>172</v>
      </c>
      <c r="AE9" s="526" t="s">
        <v>157</v>
      </c>
      <c r="AF9" s="526" t="s">
        <v>172</v>
      </c>
      <c r="AG9" s="526" t="s">
        <v>157</v>
      </c>
      <c r="AH9" s="526" t="s">
        <v>157</v>
      </c>
      <c r="AI9" s="526" t="s">
        <v>157</v>
      </c>
      <c r="AJ9" s="526" t="s">
        <v>154</v>
      </c>
      <c r="AK9" s="526" t="s">
        <v>154</v>
      </c>
      <c r="AL9" s="526" t="s">
        <v>154</v>
      </c>
      <c r="AM9" s="526" t="s">
        <v>154</v>
      </c>
      <c r="AN9" s="526" t="s">
        <v>154</v>
      </c>
      <c r="AO9" s="526" t="s">
        <v>154</v>
      </c>
      <c r="AP9" s="526" t="s">
        <v>154</v>
      </c>
    </row>
    <row r="10" spans="1:42" ht="15" customHeight="1" x14ac:dyDescent="0.25">
      <c r="A10" s="8">
        <v>7</v>
      </c>
      <c r="B10" s="12" t="s">
        <v>16</v>
      </c>
      <c r="C10" s="13"/>
      <c r="D10" s="15"/>
      <c r="E10" s="495"/>
      <c r="F10" s="490" t="s">
        <v>18</v>
      </c>
      <c r="G10" s="525">
        <v>0.119574315</v>
      </c>
      <c r="H10" s="526">
        <v>0.112878283</v>
      </c>
      <c r="I10" s="526">
        <v>1</v>
      </c>
      <c r="J10" s="526">
        <v>0.112878283</v>
      </c>
      <c r="K10" s="524">
        <v>1</v>
      </c>
      <c r="L10" s="526">
        <v>1</v>
      </c>
      <c r="M10" s="524">
        <v>1</v>
      </c>
      <c r="N10" s="526">
        <v>0.112878283</v>
      </c>
      <c r="O10" s="526">
        <v>1</v>
      </c>
      <c r="P10" s="526">
        <v>1</v>
      </c>
      <c r="Q10" s="526">
        <v>0.13406083699999999</v>
      </c>
      <c r="R10" s="526">
        <v>1</v>
      </c>
      <c r="S10" s="526">
        <v>1</v>
      </c>
      <c r="T10" s="526">
        <v>1</v>
      </c>
      <c r="U10" s="526">
        <v>1</v>
      </c>
      <c r="V10" s="526">
        <v>1</v>
      </c>
      <c r="W10" s="526">
        <v>1</v>
      </c>
      <c r="X10" s="526">
        <v>1</v>
      </c>
      <c r="Y10" s="526">
        <v>1</v>
      </c>
      <c r="Z10" s="526">
        <v>1</v>
      </c>
      <c r="AA10" s="526">
        <v>1</v>
      </c>
      <c r="AB10" s="526">
        <v>1</v>
      </c>
      <c r="AC10" s="526">
        <v>1</v>
      </c>
      <c r="AD10" s="526">
        <v>0.72511057899999998</v>
      </c>
      <c r="AE10" s="526">
        <v>1.199472232</v>
      </c>
      <c r="AF10" s="526">
        <v>0.72511057899999998</v>
      </c>
      <c r="AG10" s="526">
        <v>1.199472232</v>
      </c>
      <c r="AH10" s="526">
        <v>1.199472232</v>
      </c>
      <c r="AI10" s="526">
        <v>1.199472232</v>
      </c>
      <c r="AJ10" s="526">
        <v>1</v>
      </c>
      <c r="AK10" s="526">
        <v>1</v>
      </c>
      <c r="AL10" s="526">
        <v>1</v>
      </c>
      <c r="AM10" s="526">
        <v>1</v>
      </c>
      <c r="AN10" s="526">
        <v>1</v>
      </c>
      <c r="AO10" s="526">
        <v>1</v>
      </c>
      <c r="AP10" s="526">
        <v>1</v>
      </c>
    </row>
    <row r="11" spans="1:42" ht="15" customHeight="1" x14ac:dyDescent="0.25">
      <c r="A11" s="8">
        <v>8</v>
      </c>
      <c r="B11" s="9" t="s">
        <v>19</v>
      </c>
      <c r="C11" s="10"/>
      <c r="D11" s="11"/>
      <c r="E11" s="496" t="s">
        <v>5</v>
      </c>
      <c r="F11" s="490" t="s">
        <v>20</v>
      </c>
      <c r="G11" s="525">
        <v>1000</v>
      </c>
      <c r="H11" s="526">
        <v>1000</v>
      </c>
      <c r="I11" s="526">
        <v>1000000</v>
      </c>
      <c r="J11" s="526">
        <v>1000</v>
      </c>
      <c r="K11" s="524">
        <v>1000</v>
      </c>
      <c r="L11" s="526">
        <v>1000</v>
      </c>
      <c r="M11" s="524">
        <v>1000000</v>
      </c>
      <c r="N11" s="526">
        <v>1000</v>
      </c>
      <c r="O11" s="526">
        <v>1000000</v>
      </c>
      <c r="P11" s="526">
        <v>1000000</v>
      </c>
      <c r="Q11" s="526">
        <v>1000000</v>
      </c>
      <c r="R11" s="526">
        <v>1000</v>
      </c>
      <c r="S11" s="526">
        <v>1000000</v>
      </c>
      <c r="T11" s="526">
        <v>1000000</v>
      </c>
      <c r="U11" s="526">
        <v>1000</v>
      </c>
      <c r="V11" s="526">
        <v>1000</v>
      </c>
      <c r="W11" s="526">
        <v>1000000</v>
      </c>
      <c r="X11" s="526">
        <v>1000</v>
      </c>
      <c r="Y11" s="526">
        <v>1</v>
      </c>
      <c r="Z11" s="526">
        <v>1000</v>
      </c>
      <c r="AA11" s="526">
        <v>1000</v>
      </c>
      <c r="AB11" s="526">
        <v>1000000</v>
      </c>
      <c r="AC11" s="526">
        <v>1000000</v>
      </c>
      <c r="AD11" s="526">
        <v>1000000</v>
      </c>
      <c r="AE11" s="526">
        <v>1000000</v>
      </c>
      <c r="AF11" s="526">
        <v>1000000</v>
      </c>
      <c r="AG11" s="526">
        <v>1000000</v>
      </c>
      <c r="AH11" s="526">
        <v>1000000</v>
      </c>
      <c r="AI11" s="526">
        <v>1000000</v>
      </c>
      <c r="AJ11" s="526">
        <v>1000</v>
      </c>
      <c r="AK11" s="526">
        <v>1000000</v>
      </c>
      <c r="AL11" s="526">
        <v>1000000</v>
      </c>
      <c r="AM11" s="526">
        <v>1000</v>
      </c>
      <c r="AN11" s="526">
        <v>1</v>
      </c>
      <c r="AO11" s="526">
        <v>1</v>
      </c>
      <c r="AP11" s="526">
        <v>1000</v>
      </c>
    </row>
    <row r="12" spans="1:42" ht="15" customHeight="1" x14ac:dyDescent="0.25">
      <c r="A12" s="8">
        <v>9</v>
      </c>
      <c r="B12" s="12" t="s">
        <v>21</v>
      </c>
      <c r="C12" s="13"/>
      <c r="D12" s="14"/>
      <c r="E12" s="497" t="s">
        <v>5</v>
      </c>
      <c r="F12" s="490" t="s">
        <v>22</v>
      </c>
      <c r="G12" s="525" t="s">
        <v>309</v>
      </c>
      <c r="H12" s="526" t="s">
        <v>309</v>
      </c>
      <c r="I12" s="526" t="s">
        <v>309</v>
      </c>
      <c r="J12" s="526" t="s">
        <v>309</v>
      </c>
      <c r="K12" s="524" t="s">
        <v>309</v>
      </c>
      <c r="L12" s="526" t="s">
        <v>309</v>
      </c>
      <c r="M12" s="524" t="s">
        <v>309</v>
      </c>
      <c r="N12" s="526" t="s">
        <v>309</v>
      </c>
      <c r="O12" s="526" t="s">
        <v>309</v>
      </c>
      <c r="P12" s="526" t="s">
        <v>309</v>
      </c>
      <c r="Q12" s="526" t="s">
        <v>310</v>
      </c>
      <c r="R12" s="526" t="s">
        <v>309</v>
      </c>
      <c r="S12" s="526" t="s">
        <v>309</v>
      </c>
      <c r="T12" s="526" t="s">
        <v>309</v>
      </c>
      <c r="U12" s="526" t="s">
        <v>309</v>
      </c>
      <c r="V12" s="526" t="s">
        <v>309</v>
      </c>
      <c r="W12" s="526" t="s">
        <v>309</v>
      </c>
      <c r="X12" s="526" t="s">
        <v>309</v>
      </c>
      <c r="Y12" s="526" t="s">
        <v>309</v>
      </c>
      <c r="Z12" s="526" t="s">
        <v>309</v>
      </c>
      <c r="AA12" s="526" t="s">
        <v>309</v>
      </c>
      <c r="AB12" s="526" t="s">
        <v>309</v>
      </c>
      <c r="AC12" s="526" t="s">
        <v>309</v>
      </c>
      <c r="AD12" s="526" t="s">
        <v>309</v>
      </c>
      <c r="AE12" s="526" t="s">
        <v>309</v>
      </c>
      <c r="AF12" s="526" t="s">
        <v>309</v>
      </c>
      <c r="AG12" s="526" t="s">
        <v>309</v>
      </c>
      <c r="AH12" s="526" t="s">
        <v>309</v>
      </c>
      <c r="AI12" s="526" t="s">
        <v>309</v>
      </c>
      <c r="AJ12" s="526" t="s">
        <v>309</v>
      </c>
      <c r="AK12" s="526" t="s">
        <v>309</v>
      </c>
      <c r="AL12" s="526" t="s">
        <v>309</v>
      </c>
      <c r="AM12" s="526" t="s">
        <v>309</v>
      </c>
      <c r="AN12" s="526" t="s">
        <v>309</v>
      </c>
      <c r="AO12" s="526" t="s">
        <v>309</v>
      </c>
      <c r="AP12" s="526" t="s">
        <v>309</v>
      </c>
    </row>
    <row r="13" spans="1:42" ht="15" customHeight="1" x14ac:dyDescent="0.25">
      <c r="A13" s="8">
        <v>10</v>
      </c>
      <c r="B13" s="16" t="s">
        <v>23</v>
      </c>
      <c r="C13" s="17"/>
      <c r="D13" s="18"/>
      <c r="E13" s="497"/>
      <c r="F13" s="490" t="s">
        <v>24</v>
      </c>
      <c r="G13" s="520" t="s">
        <v>376</v>
      </c>
      <c r="H13" s="520" t="s">
        <v>398</v>
      </c>
      <c r="I13" s="520" t="s">
        <v>396</v>
      </c>
      <c r="J13" s="521" t="s">
        <v>397</v>
      </c>
      <c r="K13" s="520" t="s">
        <v>394</v>
      </c>
      <c r="L13" s="521" t="s">
        <v>397</v>
      </c>
      <c r="M13" s="520" t="s">
        <v>381</v>
      </c>
      <c r="N13" s="520" t="s">
        <v>312</v>
      </c>
      <c r="O13" s="520" t="s">
        <v>395</v>
      </c>
      <c r="P13" s="520" t="s">
        <v>399</v>
      </c>
      <c r="Q13" s="522" t="s">
        <v>397</v>
      </c>
      <c r="R13" s="520" t="s">
        <v>313</v>
      </c>
      <c r="S13" s="520" t="s">
        <v>314</v>
      </c>
      <c r="T13" s="520" t="s">
        <v>315</v>
      </c>
      <c r="U13" s="520" t="s">
        <v>316</v>
      </c>
      <c r="V13" s="520" t="s">
        <v>317</v>
      </c>
      <c r="W13" s="520" t="s">
        <v>318</v>
      </c>
      <c r="X13" s="520" t="s">
        <v>319</v>
      </c>
      <c r="Y13" s="520" t="s">
        <v>320</v>
      </c>
      <c r="Z13" s="520" t="s">
        <v>400</v>
      </c>
      <c r="AA13" s="521" t="s">
        <v>397</v>
      </c>
      <c r="AB13" s="520" t="s">
        <v>527</v>
      </c>
      <c r="AC13" s="521" t="s">
        <v>397</v>
      </c>
      <c r="AD13" s="520" t="s">
        <v>311</v>
      </c>
      <c r="AE13" s="520" t="s">
        <v>528</v>
      </c>
      <c r="AF13" s="520" t="s">
        <v>321</v>
      </c>
      <c r="AG13" s="520" t="s">
        <v>322</v>
      </c>
      <c r="AH13" s="520" t="s">
        <v>323</v>
      </c>
      <c r="AI13" s="520" t="s">
        <v>324</v>
      </c>
      <c r="AJ13" s="520" t="s">
        <v>547</v>
      </c>
      <c r="AK13" s="520" t="s">
        <v>548</v>
      </c>
      <c r="AL13" s="520" t="s">
        <v>549</v>
      </c>
      <c r="AM13" s="520" t="s">
        <v>550</v>
      </c>
      <c r="AN13" s="520" t="s">
        <v>551</v>
      </c>
      <c r="AO13" s="520" t="s">
        <v>552</v>
      </c>
      <c r="AP13" s="520" t="s">
        <v>553</v>
      </c>
    </row>
    <row r="14" spans="1:42" ht="15" customHeight="1" x14ac:dyDescent="0.25">
      <c r="A14" s="8">
        <v>11</v>
      </c>
      <c r="B14" s="19" t="s">
        <v>28</v>
      </c>
      <c r="C14" s="20"/>
      <c r="D14" s="11"/>
      <c r="E14" s="498"/>
      <c r="F14" s="490" t="s">
        <v>29</v>
      </c>
      <c r="G14" s="509">
        <v>52180329.560856998</v>
      </c>
      <c r="H14" s="509">
        <v>26531666.666666701</v>
      </c>
      <c r="I14" s="509">
        <v>39433</v>
      </c>
      <c r="J14" s="509">
        <v>52402060</v>
      </c>
      <c r="K14" s="509">
        <v>12708827.833639922</v>
      </c>
      <c r="L14" s="509">
        <v>5242770.95</v>
      </c>
      <c r="M14" s="509">
        <v>23821.359217698158</v>
      </c>
      <c r="N14" s="509">
        <v>20781963</v>
      </c>
      <c r="O14" s="509">
        <v>5189.0730000000003</v>
      </c>
      <c r="P14" s="509">
        <v>4576.3561320125682</v>
      </c>
      <c r="Q14" s="509">
        <v>33488.835533930003</v>
      </c>
      <c r="R14" s="509">
        <v>46468000</v>
      </c>
      <c r="S14" s="509">
        <v>14764</v>
      </c>
      <c r="T14" s="509">
        <v>39348.22487294201</v>
      </c>
      <c r="U14" s="509">
        <v>2086218.4806998288</v>
      </c>
      <c r="V14" s="509">
        <v>62597.213479999999</v>
      </c>
      <c r="W14" s="509">
        <v>40127.447234471001</v>
      </c>
      <c r="X14" s="509">
        <v>10651306</v>
      </c>
      <c r="Y14" s="509">
        <v>2538301622</v>
      </c>
      <c r="Z14" s="509">
        <v>20304456</v>
      </c>
      <c r="AA14" s="509">
        <v>8404082</v>
      </c>
      <c r="AB14" s="509">
        <v>19318</v>
      </c>
      <c r="AC14" s="509">
        <v>10670</v>
      </c>
      <c r="AD14" s="509">
        <v>26142.650901248413</v>
      </c>
      <c r="AE14" s="509">
        <v>64720.623437365903</v>
      </c>
      <c r="AF14" s="509">
        <v>69379.179149644566</v>
      </c>
      <c r="AG14" s="509">
        <v>12187</v>
      </c>
      <c r="AH14" s="509">
        <v>2298</v>
      </c>
      <c r="AI14" s="509">
        <v>54224</v>
      </c>
      <c r="AJ14" s="509">
        <v>11522501</v>
      </c>
      <c r="AK14" s="509">
        <v>23023</v>
      </c>
      <c r="AL14" s="509">
        <v>108438.29705542633</v>
      </c>
      <c r="AM14" s="509">
        <v>11771070</v>
      </c>
      <c r="AN14" s="509">
        <v>10464417852.838032</v>
      </c>
      <c r="AO14" s="509">
        <v>8980750000</v>
      </c>
      <c r="AP14" s="509">
        <v>4432924</v>
      </c>
    </row>
    <row r="15" spans="1:42" ht="15" customHeight="1" x14ac:dyDescent="0.25">
      <c r="A15" s="8">
        <v>12</v>
      </c>
      <c r="B15" s="21" t="s">
        <v>30</v>
      </c>
      <c r="C15" s="22"/>
      <c r="D15" s="11"/>
      <c r="E15" s="499"/>
      <c r="F15" s="490" t="s">
        <v>31</v>
      </c>
      <c r="G15" s="509">
        <v>157489394.78400001</v>
      </c>
      <c r="H15" s="509">
        <v>0</v>
      </c>
      <c r="I15" s="509">
        <v>48313</v>
      </c>
      <c r="J15" s="509">
        <v>240663834</v>
      </c>
      <c r="K15" s="509">
        <v>12981575</v>
      </c>
      <c r="L15" s="509">
        <v>15897746.706280001</v>
      </c>
      <c r="M15" s="509">
        <v>58506.452999999994</v>
      </c>
      <c r="N15" s="509">
        <v>56526467</v>
      </c>
      <c r="O15" s="509">
        <v>8843</v>
      </c>
      <c r="P15" s="509">
        <v>10060.418057999999</v>
      </c>
      <c r="Q15" s="509">
        <v>489554</v>
      </c>
      <c r="R15" s="509">
        <v>231500798.27329031</v>
      </c>
      <c r="S15" s="509">
        <v>87010</v>
      </c>
      <c r="T15" s="509">
        <v>121228.09731600026</v>
      </c>
      <c r="U15" s="509">
        <v>13644502.307954457</v>
      </c>
      <c r="V15" s="509">
        <v>358435</v>
      </c>
      <c r="W15" s="509">
        <v>158735</v>
      </c>
      <c r="X15" s="509">
        <v>18981205</v>
      </c>
      <c r="Y15" s="509">
        <v>6541735000</v>
      </c>
      <c r="Z15" s="509">
        <v>60622809</v>
      </c>
      <c r="AA15" s="509">
        <v>18379317</v>
      </c>
      <c r="AB15" s="509">
        <v>60748</v>
      </c>
      <c r="AC15" s="509">
        <v>33455</v>
      </c>
      <c r="AD15" s="509">
        <v>19883.966</v>
      </c>
      <c r="AE15" s="509">
        <v>301056.41497134371</v>
      </c>
      <c r="AF15" s="509">
        <v>297374</v>
      </c>
      <c r="AG15" s="509">
        <v>34162</v>
      </c>
      <c r="AH15" s="509">
        <v>0</v>
      </c>
      <c r="AI15" s="509">
        <v>117071</v>
      </c>
      <c r="AJ15" s="509">
        <v>11711150</v>
      </c>
      <c r="AK15" s="509">
        <v>86383</v>
      </c>
      <c r="AL15" s="509">
        <v>261241.96354318367</v>
      </c>
      <c r="AM15" s="509">
        <v>15583311</v>
      </c>
      <c r="AN15" s="509">
        <v>395520973.67000002</v>
      </c>
      <c r="AO15" s="509">
        <v>13609766000</v>
      </c>
      <c r="AP15" s="509">
        <v>14668873</v>
      </c>
    </row>
    <row r="16" spans="1:42" ht="15" customHeight="1" x14ac:dyDescent="0.25">
      <c r="A16" s="8">
        <v>13</v>
      </c>
      <c r="B16" s="21" t="s">
        <v>32</v>
      </c>
      <c r="C16" s="22"/>
      <c r="D16" s="23"/>
      <c r="E16" s="499"/>
      <c r="F16" s="490" t="s">
        <v>33</v>
      </c>
      <c r="G16" s="510">
        <v>1753731</v>
      </c>
      <c r="H16" s="510">
        <v>65296850.621516697</v>
      </c>
      <c r="I16" s="510">
        <v>1403</v>
      </c>
      <c r="J16" s="510">
        <v>19678445</v>
      </c>
      <c r="K16" s="510">
        <v>40130.521000000001</v>
      </c>
      <c r="L16" s="510">
        <v>514299.76308500703</v>
      </c>
      <c r="M16" s="510">
        <v>3268.0810190332945</v>
      </c>
      <c r="N16" s="510">
        <v>19386289</v>
      </c>
      <c r="O16" s="510">
        <v>5265</v>
      </c>
      <c r="P16" s="510">
        <v>7059.6168212395733</v>
      </c>
      <c r="Q16" s="510">
        <v>952.00628661347696</v>
      </c>
      <c r="R16" s="510">
        <v>2586000</v>
      </c>
      <c r="S16" s="510">
        <v>4767</v>
      </c>
      <c r="T16" s="510">
        <v>19368.749617299993</v>
      </c>
      <c r="U16" s="510">
        <v>1370634</v>
      </c>
      <c r="V16" s="510">
        <v>128202</v>
      </c>
      <c r="W16" s="510">
        <v>24889</v>
      </c>
      <c r="X16" s="510">
        <v>6091151</v>
      </c>
      <c r="Y16" s="510">
        <v>4758944343</v>
      </c>
      <c r="Z16" s="510">
        <v>6549090</v>
      </c>
      <c r="AA16" s="510">
        <v>3823257</v>
      </c>
      <c r="AB16" s="510">
        <v>11406</v>
      </c>
      <c r="AC16" s="510">
        <v>1605</v>
      </c>
      <c r="AD16" s="510">
        <v>14356.08965</v>
      </c>
      <c r="AE16" s="510">
        <v>66566.048113657889</v>
      </c>
      <c r="AF16" s="510">
        <v>12320</v>
      </c>
      <c r="AG16" s="510">
        <v>6700</v>
      </c>
      <c r="AH16" s="510">
        <v>0</v>
      </c>
      <c r="AI16" s="510">
        <v>19117</v>
      </c>
      <c r="AJ16" s="510">
        <v>5673594</v>
      </c>
      <c r="AK16" s="510">
        <v>3019</v>
      </c>
      <c r="AL16" s="510">
        <v>19730.572958023549</v>
      </c>
      <c r="AM16" s="510">
        <v>278205</v>
      </c>
      <c r="AN16" s="510">
        <v>71137463.74000001</v>
      </c>
      <c r="AO16" s="510">
        <v>19446640000</v>
      </c>
      <c r="AP16" s="510">
        <v>5749278</v>
      </c>
    </row>
    <row r="17" spans="1:42" ht="15" customHeight="1" x14ac:dyDescent="0.25">
      <c r="A17" s="8">
        <v>14</v>
      </c>
      <c r="B17" s="21" t="s">
        <v>34</v>
      </c>
      <c r="C17" s="22"/>
      <c r="D17" s="23"/>
      <c r="E17" s="499"/>
      <c r="F17" s="490" t="s">
        <v>35</v>
      </c>
      <c r="G17" s="510">
        <v>1842514420.0388</v>
      </c>
      <c r="H17" s="510">
        <v>2280359175</v>
      </c>
      <c r="I17" s="510">
        <v>461301</v>
      </c>
      <c r="J17" s="510">
        <v>1691160553</v>
      </c>
      <c r="K17" s="510">
        <v>532002630</v>
      </c>
      <c r="L17" s="510">
        <v>306213069.75295001</v>
      </c>
      <c r="M17" s="510">
        <v>1065136.608</v>
      </c>
      <c r="N17" s="510">
        <v>1619946519</v>
      </c>
      <c r="O17" s="510">
        <v>187912</v>
      </c>
      <c r="P17" s="510">
        <v>189988.35052199999</v>
      </c>
      <c r="Q17" s="510">
        <v>2422836</v>
      </c>
      <c r="R17" s="510">
        <v>1181746263.6176026</v>
      </c>
      <c r="S17" s="510">
        <v>916172</v>
      </c>
      <c r="T17" s="510">
        <v>1158711.9297081863</v>
      </c>
      <c r="U17" s="510">
        <v>515697773.53108615</v>
      </c>
      <c r="V17" s="510">
        <v>197869724</v>
      </c>
      <c r="W17" s="510">
        <v>763852</v>
      </c>
      <c r="X17" s="510">
        <v>481286330</v>
      </c>
      <c r="Y17" s="510">
        <v>182836524000</v>
      </c>
      <c r="Z17" s="510">
        <v>735618746.43307996</v>
      </c>
      <c r="AA17" s="510">
        <v>350137134</v>
      </c>
      <c r="AB17" s="510">
        <v>698096</v>
      </c>
      <c r="AC17" s="510">
        <v>620442</v>
      </c>
      <c r="AD17" s="510">
        <v>605655.52399999998</v>
      </c>
      <c r="AE17" s="510">
        <v>802428.44521129748</v>
      </c>
      <c r="AF17" s="510">
        <v>2351741.1055253074</v>
      </c>
      <c r="AG17" s="510">
        <v>629688</v>
      </c>
      <c r="AH17" s="510">
        <v>186920</v>
      </c>
      <c r="AI17" s="510">
        <v>674034</v>
      </c>
      <c r="AJ17" s="510">
        <v>225023094</v>
      </c>
      <c r="AK17" s="510">
        <v>433187</v>
      </c>
      <c r="AL17" s="510">
        <v>829832.75905578001</v>
      </c>
      <c r="AM17" s="510">
        <v>275278179</v>
      </c>
      <c r="AN17" s="510">
        <v>163364794166.23999</v>
      </c>
      <c r="AO17" s="510">
        <v>234221373000</v>
      </c>
      <c r="AP17" s="510">
        <v>175183584</v>
      </c>
    </row>
    <row r="18" spans="1:42" ht="15" customHeight="1" x14ac:dyDescent="0.25">
      <c r="A18" s="8">
        <v>15</v>
      </c>
      <c r="B18" s="24" t="s">
        <v>36</v>
      </c>
      <c r="C18" s="25"/>
      <c r="D18" s="23"/>
      <c r="E18" s="499"/>
      <c r="F18" s="490" t="s">
        <v>37</v>
      </c>
      <c r="G18" s="510">
        <v>0</v>
      </c>
      <c r="H18" s="510">
        <v>0</v>
      </c>
      <c r="I18" s="510">
        <v>0</v>
      </c>
      <c r="J18" s="510">
        <v>26158971</v>
      </c>
      <c r="K18" s="510">
        <v>0</v>
      </c>
      <c r="L18" s="510">
        <v>1454975.79</v>
      </c>
      <c r="M18" s="510">
        <v>0</v>
      </c>
      <c r="N18" s="510">
        <v>30929343</v>
      </c>
      <c r="O18" s="510">
        <v>0</v>
      </c>
      <c r="P18" s="510">
        <v>0</v>
      </c>
      <c r="Q18" s="510">
        <v>0</v>
      </c>
      <c r="R18" s="510">
        <v>0</v>
      </c>
      <c r="S18" s="510">
        <v>0</v>
      </c>
      <c r="T18" s="510">
        <v>0</v>
      </c>
      <c r="U18" s="510">
        <v>836050</v>
      </c>
      <c r="V18" s="510">
        <v>0</v>
      </c>
      <c r="W18" s="510">
        <v>0</v>
      </c>
      <c r="X18" s="510">
        <v>0</v>
      </c>
      <c r="Y18" s="510">
        <v>0</v>
      </c>
      <c r="Z18" s="510">
        <v>0</v>
      </c>
      <c r="AA18" s="510">
        <v>0</v>
      </c>
      <c r="AB18" s="510">
        <v>0</v>
      </c>
      <c r="AC18" s="510">
        <v>0</v>
      </c>
      <c r="AD18" s="510">
        <v>0</v>
      </c>
      <c r="AE18" s="510">
        <v>0</v>
      </c>
      <c r="AF18" s="510">
        <v>0</v>
      </c>
      <c r="AG18" s="510">
        <v>0</v>
      </c>
      <c r="AH18" s="510">
        <v>0</v>
      </c>
      <c r="AI18" s="510">
        <v>0</v>
      </c>
      <c r="AJ18" s="510">
        <v>16123913</v>
      </c>
      <c r="AK18" s="510">
        <v>0</v>
      </c>
      <c r="AL18" s="510">
        <v>0</v>
      </c>
      <c r="AM18" s="510">
        <v>0</v>
      </c>
      <c r="AN18" s="510">
        <v>152992199.40000001</v>
      </c>
      <c r="AO18" s="510">
        <v>0</v>
      </c>
      <c r="AP18" s="510">
        <v>0</v>
      </c>
    </row>
    <row r="19" spans="1:42" ht="15" customHeight="1" x14ac:dyDescent="0.25">
      <c r="A19" s="8">
        <v>16</v>
      </c>
      <c r="B19" s="26" t="s">
        <v>38</v>
      </c>
      <c r="C19" s="27"/>
      <c r="D19" s="28"/>
      <c r="E19" s="500" t="s">
        <v>17</v>
      </c>
      <c r="F19" s="490" t="s">
        <v>39</v>
      </c>
      <c r="G19" s="510">
        <v>2053937875.383657</v>
      </c>
      <c r="H19" s="510">
        <v>2372187692.2881832</v>
      </c>
      <c r="I19" s="510">
        <v>550450</v>
      </c>
      <c r="J19" s="510">
        <v>1977745921</v>
      </c>
      <c r="K19" s="510">
        <v>557733163.35463989</v>
      </c>
      <c r="L19" s="510">
        <v>326412911.38231498</v>
      </c>
      <c r="M19" s="510">
        <v>1150732.5012367314</v>
      </c>
      <c r="N19" s="510">
        <v>1685711895</v>
      </c>
      <c r="O19" s="510">
        <v>207209.073</v>
      </c>
      <c r="P19" s="510">
        <v>211684.74153325212</v>
      </c>
      <c r="Q19" s="510">
        <v>2946830.8418205436</v>
      </c>
      <c r="R19" s="510"/>
      <c r="S19" s="510"/>
      <c r="T19" s="510">
        <v>1338657.0015144285</v>
      </c>
      <c r="U19" s="510">
        <v>531963078.31974041</v>
      </c>
      <c r="V19" s="510">
        <v>198418958.21348</v>
      </c>
      <c r="W19" s="510">
        <v>987603.44723447098</v>
      </c>
      <c r="X19" s="510">
        <v>517009992</v>
      </c>
      <c r="Y19" s="510">
        <v>196675504965</v>
      </c>
      <c r="Z19" s="510">
        <v>823095101.43307996</v>
      </c>
      <c r="AA19" s="510">
        <v>380743790</v>
      </c>
      <c r="AB19" s="510">
        <v>789568</v>
      </c>
      <c r="AC19" s="510">
        <v>666172</v>
      </c>
      <c r="AD19" s="510">
        <v>666038.23055124842</v>
      </c>
      <c r="AE19" s="510">
        <v>1234771.5317336651</v>
      </c>
      <c r="AF19" s="510">
        <v>2730814.2846749518</v>
      </c>
      <c r="AG19" s="510">
        <v>682737</v>
      </c>
      <c r="AH19" s="510">
        <v>189218</v>
      </c>
      <c r="AI19" s="510">
        <v>864446</v>
      </c>
      <c r="AJ19" s="510">
        <v>237806426</v>
      </c>
      <c r="AK19" s="510">
        <v>545612</v>
      </c>
      <c r="AL19" s="510">
        <v>1219243.5926124137</v>
      </c>
      <c r="AM19" s="510">
        <v>302910765</v>
      </c>
      <c r="AN19" s="510">
        <v>174142878257.08801</v>
      </c>
      <c r="AO19" s="510">
        <v>276258529000</v>
      </c>
      <c r="AP19" s="510">
        <v>200034659</v>
      </c>
    </row>
    <row r="20" spans="1:42" ht="15" customHeight="1" x14ac:dyDescent="0.25">
      <c r="A20" s="8">
        <v>17</v>
      </c>
      <c r="B20" s="21" t="s">
        <v>40</v>
      </c>
      <c r="C20" s="22"/>
      <c r="D20" s="11"/>
      <c r="E20" s="499"/>
      <c r="F20" s="501" t="s">
        <v>41</v>
      </c>
      <c r="G20" s="510">
        <v>20520652.967997</v>
      </c>
      <c r="H20" s="510">
        <v>26186000</v>
      </c>
      <c r="I20" s="510">
        <v>26024</v>
      </c>
      <c r="J20" s="510">
        <v>63734298</v>
      </c>
      <c r="K20" s="510">
        <v>13845035.157500029</v>
      </c>
      <c r="L20" s="510">
        <v>1990556.85</v>
      </c>
      <c r="M20" s="510">
        <v>22339.757479927546</v>
      </c>
      <c r="N20" s="510">
        <v>47529301</v>
      </c>
      <c r="O20" s="510">
        <v>1830</v>
      </c>
      <c r="P20" s="510">
        <v>4415.5761342226042</v>
      </c>
      <c r="Q20" s="510">
        <v>83352.410000425298</v>
      </c>
      <c r="R20" s="510">
        <v>282442867.48338503</v>
      </c>
      <c r="S20" s="510">
        <v>20434</v>
      </c>
      <c r="T20" s="510">
        <v>20366.724712757987</v>
      </c>
      <c r="U20" s="510">
        <v>3501031.1579501703</v>
      </c>
      <c r="V20" s="510">
        <v>149488</v>
      </c>
      <c r="W20" s="510">
        <v>92940.772001321922</v>
      </c>
      <c r="X20" s="510">
        <v>16645014</v>
      </c>
      <c r="Y20" s="510">
        <v>2893898546</v>
      </c>
      <c r="Z20" s="510">
        <v>18909808</v>
      </c>
      <c r="AA20" s="510">
        <v>3197232</v>
      </c>
      <c r="AB20" s="510">
        <v>19079</v>
      </c>
      <c r="AC20" s="510">
        <v>15698</v>
      </c>
      <c r="AD20" s="510">
        <v>17953.508225901671</v>
      </c>
      <c r="AE20" s="510">
        <v>231062.17785764</v>
      </c>
      <c r="AF20" s="510">
        <v>170130</v>
      </c>
      <c r="AG20" s="510">
        <v>12411</v>
      </c>
      <c r="AH20" s="510">
        <v>1105</v>
      </c>
      <c r="AI20" s="510">
        <v>127976</v>
      </c>
      <c r="AJ20" s="510">
        <v>4970367</v>
      </c>
      <c r="AK20" s="510">
        <v>33425</v>
      </c>
      <c r="AL20" s="510">
        <v>266348.61787300475</v>
      </c>
      <c r="AM20" s="510">
        <v>8279409</v>
      </c>
      <c r="AN20" s="510">
        <v>2226037694.92799</v>
      </c>
      <c r="AO20" s="510">
        <v>6798688000</v>
      </c>
      <c r="AP20" s="510">
        <v>2619437</v>
      </c>
    </row>
    <row r="21" spans="1:42" ht="15" customHeight="1" x14ac:dyDescent="0.25">
      <c r="A21" s="8">
        <v>18</v>
      </c>
      <c r="B21" s="21" t="s">
        <v>42</v>
      </c>
      <c r="C21" s="22"/>
      <c r="D21" s="11"/>
      <c r="E21" s="499"/>
      <c r="F21" s="501" t="s">
        <v>43</v>
      </c>
      <c r="G21" s="510">
        <v>384831869.43903297</v>
      </c>
      <c r="H21" s="510">
        <v>101048309.571676</v>
      </c>
      <c r="I21" s="510">
        <v>46267</v>
      </c>
      <c r="J21" s="510">
        <v>55524815</v>
      </c>
      <c r="K21" s="510">
        <v>61058849.520815499</v>
      </c>
      <c r="L21" s="510">
        <v>25725853.561450005</v>
      </c>
      <c r="M21" s="510">
        <v>88012.64529</v>
      </c>
      <c r="N21" s="510">
        <v>24260083</v>
      </c>
      <c r="O21" s="510">
        <v>8187.3788292299996</v>
      </c>
      <c r="P21" s="510">
        <v>21581.944990159747</v>
      </c>
      <c r="Q21" s="510">
        <v>27880.393921480001</v>
      </c>
      <c r="R21" s="510">
        <v>61498802.721183121</v>
      </c>
      <c r="S21" s="510">
        <v>19831</v>
      </c>
      <c r="T21" s="510">
        <v>38851.765477713197</v>
      </c>
      <c r="U21" s="510">
        <v>4997885.7032599999</v>
      </c>
      <c r="V21" s="510">
        <v>12485657.1237</v>
      </c>
      <c r="W21" s="510">
        <v>3865.4234729999998</v>
      </c>
      <c r="X21" s="510">
        <v>145463847.3789942</v>
      </c>
      <c r="Y21" s="510">
        <v>42896064529.010002</v>
      </c>
      <c r="Z21" s="510">
        <v>165269574</v>
      </c>
      <c r="AA21" s="510">
        <v>71656813</v>
      </c>
      <c r="AB21" s="510">
        <v>46933</v>
      </c>
      <c r="AC21" s="510">
        <v>45065</v>
      </c>
      <c r="AD21" s="510">
        <v>123480.787</v>
      </c>
      <c r="AE21" s="510">
        <v>117288.57762051058</v>
      </c>
      <c r="AF21" s="510">
        <v>407733.13511270029</v>
      </c>
      <c r="AG21" s="510">
        <v>47891</v>
      </c>
      <c r="AH21" s="510">
        <v>7338</v>
      </c>
      <c r="AI21" s="510">
        <v>62273</v>
      </c>
      <c r="AJ21" s="510">
        <v>17786684.395300496</v>
      </c>
      <c r="AK21" s="510">
        <v>49264</v>
      </c>
      <c r="AL21" s="510">
        <v>94257.366915184946</v>
      </c>
      <c r="AM21" s="510">
        <v>16118844</v>
      </c>
      <c r="AN21" s="510">
        <v>2377369297.866015</v>
      </c>
      <c r="AO21" s="510">
        <v>18293251000</v>
      </c>
      <c r="AP21" s="510">
        <v>8089672</v>
      </c>
    </row>
    <row r="22" spans="1:42" ht="15" customHeight="1" x14ac:dyDescent="0.25">
      <c r="A22" s="8">
        <v>19</v>
      </c>
      <c r="B22" s="24" t="s">
        <v>44</v>
      </c>
      <c r="C22" s="25"/>
      <c r="D22" s="23"/>
      <c r="E22" s="499"/>
      <c r="F22" s="501" t="s">
        <v>45</v>
      </c>
      <c r="G22" s="510">
        <v>68950613.831839994</v>
      </c>
      <c r="H22" s="510">
        <v>0</v>
      </c>
      <c r="I22" s="510">
        <v>0</v>
      </c>
      <c r="J22" s="510">
        <v>32743702</v>
      </c>
      <c r="K22" s="510">
        <v>24309396.999945499</v>
      </c>
      <c r="L22" s="510">
        <v>0</v>
      </c>
      <c r="M22" s="510">
        <v>0</v>
      </c>
      <c r="N22" s="510">
        <v>24260083</v>
      </c>
      <c r="O22" s="510">
        <v>0</v>
      </c>
      <c r="P22" s="510">
        <v>0</v>
      </c>
      <c r="Q22" s="510">
        <v>7054.9317323799996</v>
      </c>
      <c r="R22" s="510">
        <v>0</v>
      </c>
      <c r="S22" s="510">
        <v>0</v>
      </c>
      <c r="T22" s="510">
        <v>0</v>
      </c>
      <c r="U22" s="510">
        <v>0</v>
      </c>
      <c r="V22" s="510">
        <v>12485657.1237</v>
      </c>
      <c r="W22" s="510">
        <v>0</v>
      </c>
      <c r="X22" s="510">
        <v>196212.78804201499</v>
      </c>
      <c r="Y22" s="510">
        <v>0</v>
      </c>
      <c r="Z22" s="510">
        <v>6857661</v>
      </c>
      <c r="AA22" s="510">
        <v>8362829</v>
      </c>
      <c r="AB22" s="510">
        <v>2210</v>
      </c>
      <c r="AC22" s="510">
        <v>0</v>
      </c>
      <c r="AD22" s="510">
        <v>20525.420999999998</v>
      </c>
      <c r="AE22" s="510">
        <v>95752.070434429392</v>
      </c>
      <c r="AF22" s="510">
        <v>99652.031024858399</v>
      </c>
      <c r="AG22" s="510">
        <v>33401</v>
      </c>
      <c r="AH22" s="510">
        <v>5606</v>
      </c>
      <c r="AI22" s="510">
        <v>27053</v>
      </c>
      <c r="AJ22" s="510">
        <v>5674615.8043448431</v>
      </c>
      <c r="AK22" s="510">
        <v>4532</v>
      </c>
      <c r="AL22" s="510">
        <v>6784.7007543299997</v>
      </c>
      <c r="AM22" s="510">
        <v>358233</v>
      </c>
      <c r="AN22" s="510">
        <v>84686264</v>
      </c>
      <c r="AO22" s="510">
        <v>1070525000</v>
      </c>
      <c r="AP22" s="510">
        <v>204940</v>
      </c>
    </row>
    <row r="23" spans="1:42" ht="15" customHeight="1" x14ac:dyDescent="0.25">
      <c r="A23" s="8">
        <v>20</v>
      </c>
      <c r="B23" s="24" t="s">
        <v>46</v>
      </c>
      <c r="C23" s="25"/>
      <c r="D23" s="23"/>
      <c r="E23" s="499"/>
      <c r="F23" s="501" t="s">
        <v>47</v>
      </c>
      <c r="G23" s="510">
        <v>315881255.60719299</v>
      </c>
      <c r="H23" s="510">
        <v>101048309.571676</v>
      </c>
      <c r="I23" s="510">
        <v>46267</v>
      </c>
      <c r="J23" s="510">
        <v>22781113</v>
      </c>
      <c r="K23" s="510">
        <v>36749452.52087</v>
      </c>
      <c r="L23" s="510">
        <v>5458201.0095400056</v>
      </c>
      <c r="M23" s="510">
        <v>0</v>
      </c>
      <c r="N23" s="510">
        <v>0</v>
      </c>
      <c r="O23" s="510">
        <v>8148.4006251999999</v>
      </c>
      <c r="P23" s="510">
        <v>20663.073280957327</v>
      </c>
      <c r="Q23" s="510">
        <v>20823.139103680001</v>
      </c>
      <c r="R23" s="510">
        <v>0</v>
      </c>
      <c r="S23" s="510">
        <v>0</v>
      </c>
      <c r="T23" s="510">
        <v>0</v>
      </c>
      <c r="U23" s="510">
        <v>0</v>
      </c>
      <c r="V23" s="510">
        <v>0</v>
      </c>
      <c r="W23" s="510">
        <v>3865.4234729999998</v>
      </c>
      <c r="X23" s="510">
        <v>145267634.59095222</v>
      </c>
      <c r="Y23" s="510">
        <v>42896064529</v>
      </c>
      <c r="Z23" s="510">
        <v>151198660</v>
      </c>
      <c r="AA23" s="510">
        <v>63293984</v>
      </c>
      <c r="AB23" s="510">
        <v>44723</v>
      </c>
      <c r="AC23" s="510">
        <v>45031</v>
      </c>
      <c r="AD23" s="510">
        <v>102955.36599999999</v>
      </c>
      <c r="AE23" s="510">
        <v>21536.507186081173</v>
      </c>
      <c r="AF23" s="510">
        <v>308081.0965104202</v>
      </c>
      <c r="AG23" s="510">
        <v>14490</v>
      </c>
      <c r="AH23" s="510">
        <v>1732</v>
      </c>
      <c r="AI23" s="510">
        <v>35220</v>
      </c>
      <c r="AJ23" s="510">
        <v>5366803.9660787368</v>
      </c>
      <c r="AK23" s="510">
        <v>44732</v>
      </c>
      <c r="AL23" s="510">
        <v>50835.273222073643</v>
      </c>
      <c r="AM23" s="510">
        <v>15760611</v>
      </c>
      <c r="AN23" s="510">
        <v>2292683033.866015</v>
      </c>
      <c r="AO23" s="510">
        <v>17222726000</v>
      </c>
      <c r="AP23" s="510">
        <v>7884732</v>
      </c>
    </row>
    <row r="24" spans="1:42" ht="15" customHeight="1" x14ac:dyDescent="0.25">
      <c r="A24" s="8">
        <v>21</v>
      </c>
      <c r="B24" s="21" t="s">
        <v>48</v>
      </c>
      <c r="C24" s="22"/>
      <c r="D24" s="23"/>
      <c r="E24" s="499"/>
      <c r="F24" s="501" t="s">
        <v>49</v>
      </c>
      <c r="G24" s="510">
        <v>3916831.6940009999</v>
      </c>
      <c r="H24" s="510">
        <v>77023260.854743198</v>
      </c>
      <c r="I24" s="510">
        <v>1706</v>
      </c>
      <c r="J24" s="510">
        <v>42207092</v>
      </c>
      <c r="K24" s="510">
        <v>18034937.670122646</v>
      </c>
      <c r="L24" s="510">
        <v>7394643.3312000008</v>
      </c>
      <c r="M24" s="510">
        <v>15393.08952</v>
      </c>
      <c r="N24" s="510">
        <v>121803097</v>
      </c>
      <c r="O24" s="510">
        <v>4375.5808964300004</v>
      </c>
      <c r="P24" s="510">
        <v>2564.7538557395637</v>
      </c>
      <c r="Q24" s="510">
        <v>154369.63461593</v>
      </c>
      <c r="R24" s="510">
        <v>14604397.826717649</v>
      </c>
      <c r="S24" s="510">
        <v>14309</v>
      </c>
      <c r="T24" s="510">
        <v>24506.137205968575</v>
      </c>
      <c r="U24" s="510">
        <v>13010264.306449998</v>
      </c>
      <c r="V24" s="510">
        <v>3328165.9460399998</v>
      </c>
      <c r="W24" s="510">
        <v>49030.339166999998</v>
      </c>
      <c r="X24" s="510">
        <v>10896801.86156508</v>
      </c>
      <c r="Y24" s="510">
        <v>152622830.84999999</v>
      </c>
      <c r="Z24" s="510">
        <v>19073571</v>
      </c>
      <c r="AA24" s="510">
        <v>3301324</v>
      </c>
      <c r="AB24" s="510">
        <v>32442</v>
      </c>
      <c r="AC24" s="510">
        <v>14040</v>
      </c>
      <c r="AD24" s="510">
        <v>25856.03</v>
      </c>
      <c r="AE24" s="510">
        <v>10074.927588097989</v>
      </c>
      <c r="AF24" s="510">
        <v>5930.6648959310605</v>
      </c>
      <c r="AG24" s="510">
        <v>5977</v>
      </c>
      <c r="AH24" s="510">
        <v>5532</v>
      </c>
      <c r="AI24" s="510">
        <v>16389</v>
      </c>
      <c r="AJ24" s="510">
        <v>3669545.0583022069</v>
      </c>
      <c r="AK24" s="510">
        <v>25853</v>
      </c>
      <c r="AL24" s="510">
        <v>12864.632016664695</v>
      </c>
      <c r="AM24" s="510">
        <v>2827724</v>
      </c>
      <c r="AN24" s="510">
        <v>2071266375.31639</v>
      </c>
      <c r="AO24" s="510">
        <v>3823689000</v>
      </c>
      <c r="AP24" s="510">
        <v>1149964</v>
      </c>
    </row>
    <row r="25" spans="1:42" ht="15" customHeight="1" x14ac:dyDescent="0.25">
      <c r="A25" s="8">
        <v>22</v>
      </c>
      <c r="B25" s="21" t="s">
        <v>50</v>
      </c>
      <c r="C25" s="22"/>
      <c r="D25" s="23"/>
      <c r="E25" s="499"/>
      <c r="F25" s="501" t="s">
        <v>51</v>
      </c>
      <c r="G25" s="510">
        <v>276285733.27240902</v>
      </c>
      <c r="H25" s="510">
        <v>251486740.40482101</v>
      </c>
      <c r="I25" s="510">
        <v>19973</v>
      </c>
      <c r="J25" s="510">
        <v>345613779</v>
      </c>
      <c r="K25" s="510">
        <v>66681494.253745392</v>
      </c>
      <c r="L25" s="510">
        <v>28015038.825279996</v>
      </c>
      <c r="M25" s="510">
        <v>86460.674369999993</v>
      </c>
      <c r="N25" s="510">
        <v>72448554</v>
      </c>
      <c r="O25" s="510">
        <v>14160.163618639999</v>
      </c>
      <c r="P25" s="510">
        <v>13806.546302633822</v>
      </c>
      <c r="Q25" s="510">
        <v>280448.91551155999</v>
      </c>
      <c r="R25" s="510">
        <v>189547426.91121101</v>
      </c>
      <c r="S25" s="510">
        <v>87963</v>
      </c>
      <c r="T25" s="510">
        <v>176734.79527624586</v>
      </c>
      <c r="U25" s="510">
        <v>62619443.611199997</v>
      </c>
      <c r="V25" s="510">
        <v>8408569.3206900004</v>
      </c>
      <c r="W25" s="510">
        <v>73690.248694800001</v>
      </c>
      <c r="X25" s="510">
        <v>65480901.559497103</v>
      </c>
      <c r="Y25" s="510">
        <v>7695594067</v>
      </c>
      <c r="Z25" s="510">
        <v>97792740</v>
      </c>
      <c r="AA25" s="510">
        <v>17189138</v>
      </c>
      <c r="AB25" s="510">
        <v>83662</v>
      </c>
      <c r="AC25" s="510">
        <v>29437</v>
      </c>
      <c r="AD25" s="510">
        <v>76345.266000000003</v>
      </c>
      <c r="AE25" s="510">
        <v>106564.43451709527</v>
      </c>
      <c r="AF25" s="510">
        <v>53632.512033359133</v>
      </c>
      <c r="AG25" s="510">
        <v>38318</v>
      </c>
      <c r="AH25" s="510">
        <v>11999</v>
      </c>
      <c r="AI25" s="510">
        <v>145304</v>
      </c>
      <c r="AJ25" s="510">
        <v>33018886.21351603</v>
      </c>
      <c r="AK25" s="510">
        <v>49754</v>
      </c>
      <c r="AL25" s="510">
        <v>124160.92643883238</v>
      </c>
      <c r="AM25" s="510">
        <v>14195733</v>
      </c>
      <c r="AN25" s="510">
        <v>23660324343.896191</v>
      </c>
      <c r="AO25" s="510">
        <v>22975919000</v>
      </c>
      <c r="AP25" s="510">
        <v>10247939</v>
      </c>
    </row>
    <row r="26" spans="1:42" ht="15" customHeight="1" x14ac:dyDescent="0.25">
      <c r="A26" s="8">
        <v>23</v>
      </c>
      <c r="B26" s="21" t="s">
        <v>52</v>
      </c>
      <c r="C26" s="22"/>
      <c r="D26" s="23"/>
      <c r="E26" s="499"/>
      <c r="F26" s="501" t="s">
        <v>53</v>
      </c>
      <c r="G26" s="510">
        <v>19119740.800000001</v>
      </c>
      <c r="H26" s="510">
        <v>22278571.462759599</v>
      </c>
      <c r="I26" s="510">
        <v>43524</v>
      </c>
      <c r="J26" s="510">
        <v>76838950</v>
      </c>
      <c r="K26" s="510">
        <v>12222413.19430647</v>
      </c>
      <c r="L26" s="510">
        <v>2348546.4844599999</v>
      </c>
      <c r="M26" s="510">
        <v>38952.794820000003</v>
      </c>
      <c r="N26" s="510">
        <v>4551665</v>
      </c>
      <c r="O26" s="510">
        <v>3908.3856307600004</v>
      </c>
      <c r="P26" s="510">
        <v>2780.4111637091278</v>
      </c>
      <c r="Q26" s="510">
        <v>99937.587067329994</v>
      </c>
      <c r="R26" s="510">
        <v>37040199.569701269</v>
      </c>
      <c r="S26" s="510">
        <v>22816</v>
      </c>
      <c r="T26" s="510">
        <v>51243.069417237421</v>
      </c>
      <c r="U26" s="510">
        <v>3028214.7603699998</v>
      </c>
      <c r="V26" s="510">
        <v>1362168.2620000001</v>
      </c>
      <c r="W26" s="510">
        <v>32031.802018999999</v>
      </c>
      <c r="X26" s="510">
        <v>20198284.664217599</v>
      </c>
      <c r="Y26" s="510">
        <v>3624880641</v>
      </c>
      <c r="Z26" s="510">
        <v>15694464</v>
      </c>
      <c r="AA26" s="510">
        <v>9283721</v>
      </c>
      <c r="AB26" s="510">
        <v>7185</v>
      </c>
      <c r="AC26" s="510">
        <v>6079</v>
      </c>
      <c r="AD26" s="510">
        <v>14751.284</v>
      </c>
      <c r="AE26" s="510">
        <v>42873.801374828807</v>
      </c>
      <c r="AF26" s="510">
        <v>348544.49287299695</v>
      </c>
      <c r="AG26" s="510">
        <v>30844</v>
      </c>
      <c r="AH26" s="510">
        <v>4241</v>
      </c>
      <c r="AI26" s="510">
        <v>18045</v>
      </c>
      <c r="AJ26" s="510">
        <v>3377884.3328812639</v>
      </c>
      <c r="AK26" s="510">
        <v>15049</v>
      </c>
      <c r="AL26" s="510">
        <v>42432.641678982582</v>
      </c>
      <c r="AM26" s="510">
        <v>8157850</v>
      </c>
      <c r="AN26" s="510">
        <v>2965317120.1914105</v>
      </c>
      <c r="AO26" s="510">
        <v>1577644000</v>
      </c>
      <c r="AP26" s="510">
        <v>7082674</v>
      </c>
    </row>
    <row r="27" spans="1:42" ht="15" customHeight="1" x14ac:dyDescent="0.25">
      <c r="A27" s="8">
        <v>24</v>
      </c>
      <c r="B27" s="555" t="s">
        <v>325</v>
      </c>
      <c r="C27" s="556"/>
      <c r="D27" s="557"/>
      <c r="E27" s="502" t="s">
        <v>17</v>
      </c>
      <c r="F27" s="501" t="s">
        <v>55</v>
      </c>
      <c r="G27" s="510">
        <v>358326145.67831033</v>
      </c>
      <c r="H27" s="510">
        <v>387079403.6794914</v>
      </c>
      <c r="I27" s="510">
        <v>95853.7</v>
      </c>
      <c r="J27" s="510">
        <v>533946600.5</v>
      </c>
      <c r="K27" s="510">
        <v>116889765.22775608</v>
      </c>
      <c r="L27" s="510">
        <v>60562258.143803999</v>
      </c>
      <c r="M27" s="510">
        <v>251158.96147992753</v>
      </c>
      <c r="N27" s="510">
        <v>248758625.30000001</v>
      </c>
      <c r="O27" s="510">
        <v>25127.948412379999</v>
      </c>
      <c r="P27" s="510">
        <v>26552.466493603271</v>
      </c>
      <c r="Q27" s="510">
        <v>620898.67736427125</v>
      </c>
      <c r="R27" s="510"/>
      <c r="S27" s="510"/>
      <c r="T27" s="510">
        <v>311702.49208992301</v>
      </c>
      <c r="U27" s="510">
        <v>87156839.539230168</v>
      </c>
      <c r="V27" s="510">
        <v>14496957.2411</v>
      </c>
      <c r="W27" s="510">
        <v>248079.70422942191</v>
      </c>
      <c r="X27" s="510">
        <v>127767386.82317919</v>
      </c>
      <c r="Y27" s="510">
        <v>18656602537.760002</v>
      </c>
      <c r="Z27" s="510">
        <v>174489468.09999999</v>
      </c>
      <c r="AA27" s="510">
        <v>40137096.299999997</v>
      </c>
      <c r="AB27" s="510">
        <v>147061.29999999999</v>
      </c>
      <c r="AC27" s="510">
        <v>69791.100000000006</v>
      </c>
      <c r="AD27" s="510">
        <v>147254.16692590166</v>
      </c>
      <c r="AE27" s="510">
        <v>402304.19909971312</v>
      </c>
      <c r="AF27" s="510">
        <v>619010.99013323663</v>
      </c>
      <c r="AG27" s="510">
        <v>92339.1</v>
      </c>
      <c r="AH27" s="510">
        <v>23610.799999999999</v>
      </c>
      <c r="AI27" s="510">
        <v>313941.3</v>
      </c>
      <c r="AJ27" s="510">
        <v>52886089.206618778</v>
      </c>
      <c r="AK27" s="510">
        <v>129007.4</v>
      </c>
      <c r="AL27" s="510">
        <v>488206.2083439061</v>
      </c>
      <c r="AM27" s="510">
        <v>35072600.399999999</v>
      </c>
      <c r="AN27" s="510">
        <v>31160682464.11858</v>
      </c>
      <c r="AO27" s="510">
        <v>37005265100</v>
      </c>
      <c r="AP27" s="510">
        <v>21908981.199999999</v>
      </c>
    </row>
    <row r="28" spans="1:42" ht="15" customHeight="1" x14ac:dyDescent="0.25">
      <c r="A28" s="8">
        <v>25</v>
      </c>
      <c r="B28" s="24" t="s">
        <v>57</v>
      </c>
      <c r="C28" s="25"/>
      <c r="D28" s="11"/>
      <c r="E28" s="499"/>
      <c r="F28" s="501" t="s">
        <v>58</v>
      </c>
      <c r="G28" s="510">
        <v>0</v>
      </c>
      <c r="H28" s="510">
        <v>91312420.413194999</v>
      </c>
      <c r="I28" s="510">
        <v>23643</v>
      </c>
      <c r="J28" s="510">
        <v>0</v>
      </c>
      <c r="K28" s="510">
        <v>20037130</v>
      </c>
      <c r="L28" s="510">
        <v>3371693.4171799999</v>
      </c>
      <c r="M28" s="510">
        <v>20591.104401342949</v>
      </c>
      <c r="N28" s="510">
        <v>18845823</v>
      </c>
      <c r="O28" s="510">
        <v>1506.820105</v>
      </c>
      <c r="P28" s="510">
        <v>0</v>
      </c>
      <c r="Q28" s="510">
        <v>0</v>
      </c>
      <c r="R28" s="510">
        <v>0</v>
      </c>
      <c r="S28" s="510">
        <v>55356</v>
      </c>
      <c r="T28" s="510">
        <v>125368.90273680343</v>
      </c>
      <c r="U28" s="510">
        <v>32924243.802169401</v>
      </c>
      <c r="V28" s="510">
        <v>0</v>
      </c>
      <c r="W28" s="510">
        <v>69889</v>
      </c>
      <c r="X28" s="510">
        <v>56758349.881739207</v>
      </c>
      <c r="Y28" s="510">
        <v>96761076.710000008</v>
      </c>
      <c r="Z28" s="510">
        <v>14268566</v>
      </c>
      <c r="AA28" s="510">
        <v>0</v>
      </c>
      <c r="AB28" s="510">
        <v>1516</v>
      </c>
      <c r="AC28" s="510">
        <v>0</v>
      </c>
      <c r="AD28" s="510">
        <v>0</v>
      </c>
      <c r="AE28" s="510">
        <v>10636.200689819399</v>
      </c>
      <c r="AF28" s="510">
        <v>20777.723344053</v>
      </c>
      <c r="AG28" s="510">
        <v>72256</v>
      </c>
      <c r="AH28" s="510">
        <v>0</v>
      </c>
      <c r="AI28" s="510">
        <v>366</v>
      </c>
      <c r="AJ28" s="510">
        <v>0</v>
      </c>
      <c r="AK28" s="510">
        <v>19566</v>
      </c>
      <c r="AL28" s="510">
        <v>58877.535677953354</v>
      </c>
      <c r="AM28" s="510">
        <v>938684</v>
      </c>
      <c r="AN28" s="510">
        <v>5335917745.8599997</v>
      </c>
      <c r="AO28" s="510">
        <v>1167987377.3599999</v>
      </c>
      <c r="AP28" s="510">
        <v>5505199</v>
      </c>
    </row>
    <row r="29" spans="1:42" ht="15" customHeight="1" x14ac:dyDescent="0.25">
      <c r="A29" s="8">
        <v>26</v>
      </c>
      <c r="B29" s="24" t="s">
        <v>59</v>
      </c>
      <c r="C29" s="25"/>
      <c r="D29" s="11"/>
      <c r="E29" s="499"/>
      <c r="F29" s="501" t="s">
        <v>60</v>
      </c>
      <c r="G29" s="510">
        <v>0</v>
      </c>
      <c r="H29" s="510">
        <v>26186000</v>
      </c>
      <c r="I29" s="510">
        <v>11</v>
      </c>
      <c r="J29" s="510">
        <v>0</v>
      </c>
      <c r="K29" s="510">
        <v>738567</v>
      </c>
      <c r="L29" s="510">
        <v>0</v>
      </c>
      <c r="M29" s="510">
        <v>438.00492081853531</v>
      </c>
      <c r="N29" s="510">
        <v>0</v>
      </c>
      <c r="O29" s="510">
        <v>0</v>
      </c>
      <c r="P29" s="510">
        <v>0</v>
      </c>
      <c r="Q29" s="510">
        <v>0</v>
      </c>
      <c r="R29" s="510">
        <v>0</v>
      </c>
      <c r="S29" s="510">
        <v>109</v>
      </c>
      <c r="T29" s="510">
        <v>0</v>
      </c>
      <c r="U29" s="510">
        <v>0</v>
      </c>
      <c r="V29" s="510">
        <v>0</v>
      </c>
      <c r="W29" s="510">
        <v>0</v>
      </c>
      <c r="X29" s="510">
        <v>326156.21876955224</v>
      </c>
      <c r="Y29" s="510">
        <v>0</v>
      </c>
      <c r="Z29" s="510">
        <v>0</v>
      </c>
      <c r="AA29" s="510">
        <v>0</v>
      </c>
      <c r="AB29" s="510">
        <v>0</v>
      </c>
      <c r="AC29" s="510">
        <v>0</v>
      </c>
      <c r="AD29" s="510">
        <v>0</v>
      </c>
      <c r="AE29" s="510">
        <v>0</v>
      </c>
      <c r="AF29" s="510">
        <v>0</v>
      </c>
      <c r="AG29" s="510">
        <v>0</v>
      </c>
      <c r="AH29" s="510">
        <v>0</v>
      </c>
      <c r="AI29" s="510">
        <v>0</v>
      </c>
      <c r="AJ29" s="510">
        <v>0</v>
      </c>
      <c r="AK29" s="510">
        <v>0</v>
      </c>
      <c r="AL29" s="510">
        <v>2179.7250208635382</v>
      </c>
      <c r="AM29" s="510">
        <v>18738</v>
      </c>
      <c r="AN29" s="510">
        <v>0</v>
      </c>
      <c r="AO29" s="510">
        <v>0</v>
      </c>
      <c r="AP29" s="510">
        <v>1756</v>
      </c>
    </row>
    <row r="30" spans="1:42" ht="15" customHeight="1" x14ac:dyDescent="0.25">
      <c r="A30" s="8">
        <v>27</v>
      </c>
      <c r="B30" s="24" t="s">
        <v>61</v>
      </c>
      <c r="C30" s="25"/>
      <c r="D30" s="11"/>
      <c r="E30" s="499"/>
      <c r="F30" s="501" t="s">
        <v>62</v>
      </c>
      <c r="G30" s="510">
        <v>0</v>
      </c>
      <c r="H30" s="510">
        <v>0</v>
      </c>
      <c r="I30" s="510">
        <v>366</v>
      </c>
      <c r="J30" s="510">
        <v>0</v>
      </c>
      <c r="K30" s="510">
        <v>0</v>
      </c>
      <c r="L30" s="510">
        <v>0</v>
      </c>
      <c r="M30" s="510">
        <v>0</v>
      </c>
      <c r="N30" s="510">
        <v>0</v>
      </c>
      <c r="O30" s="510">
        <v>0</v>
      </c>
      <c r="P30" s="510">
        <v>0</v>
      </c>
      <c r="Q30" s="510">
        <v>0</v>
      </c>
      <c r="R30" s="510">
        <v>0</v>
      </c>
      <c r="S30" s="510">
        <v>0</v>
      </c>
      <c r="T30" s="510">
        <v>0</v>
      </c>
      <c r="U30" s="510">
        <v>0</v>
      </c>
      <c r="V30" s="510">
        <v>0</v>
      </c>
      <c r="W30" s="510">
        <v>0</v>
      </c>
      <c r="X30" s="510">
        <v>0</v>
      </c>
      <c r="Y30" s="510">
        <v>0</v>
      </c>
      <c r="Z30" s="510">
        <v>0</v>
      </c>
      <c r="AA30" s="510">
        <v>0</v>
      </c>
      <c r="AB30" s="510">
        <v>0</v>
      </c>
      <c r="AC30" s="510">
        <v>0</v>
      </c>
      <c r="AD30" s="510">
        <v>0</v>
      </c>
      <c r="AE30" s="510">
        <v>0</v>
      </c>
      <c r="AF30" s="510">
        <v>0</v>
      </c>
      <c r="AG30" s="510">
        <v>0</v>
      </c>
      <c r="AH30" s="510">
        <v>0</v>
      </c>
      <c r="AI30" s="510">
        <v>0</v>
      </c>
      <c r="AJ30" s="510">
        <v>0</v>
      </c>
      <c r="AK30" s="510">
        <v>6</v>
      </c>
      <c r="AL30" s="510">
        <v>0</v>
      </c>
      <c r="AM30" s="510">
        <v>0</v>
      </c>
      <c r="AN30" s="510">
        <v>0</v>
      </c>
      <c r="AO30" s="510">
        <v>0</v>
      </c>
      <c r="AP30" s="510">
        <v>0</v>
      </c>
    </row>
    <row r="31" spans="1:42" ht="15" customHeight="1" x14ac:dyDescent="0.25">
      <c r="A31" s="8">
        <v>28</v>
      </c>
      <c r="B31" s="24" t="s">
        <v>63</v>
      </c>
      <c r="C31" s="25"/>
      <c r="D31" s="11"/>
      <c r="E31" s="499"/>
      <c r="F31" s="501" t="s">
        <v>64</v>
      </c>
      <c r="G31" s="510">
        <v>0</v>
      </c>
      <c r="H31" s="510">
        <v>0</v>
      </c>
      <c r="I31" s="510">
        <v>132</v>
      </c>
      <c r="J31" s="510">
        <v>0</v>
      </c>
      <c r="K31" s="510">
        <v>0</v>
      </c>
      <c r="L31" s="510">
        <v>49163.81583</v>
      </c>
      <c r="M31" s="510">
        <v>17.887</v>
      </c>
      <c r="N31" s="510">
        <v>0</v>
      </c>
      <c r="O31" s="510">
        <v>2.2830699999999999</v>
      </c>
      <c r="P31" s="510">
        <v>0</v>
      </c>
      <c r="Q31" s="510">
        <v>0</v>
      </c>
      <c r="R31" s="510">
        <v>0</v>
      </c>
      <c r="S31" s="510">
        <v>93</v>
      </c>
      <c r="T31" s="510">
        <v>22.368970249618016</v>
      </c>
      <c r="U31" s="510">
        <v>42041.573142577865</v>
      </c>
      <c r="V31" s="510">
        <v>0</v>
      </c>
      <c r="W31" s="510">
        <v>6933</v>
      </c>
      <c r="X31" s="510">
        <v>1401.2102399999999</v>
      </c>
      <c r="Y31" s="510">
        <v>0</v>
      </c>
      <c r="Z31" s="510">
        <v>120031</v>
      </c>
      <c r="AA31" s="510">
        <v>0</v>
      </c>
      <c r="AB31" s="510">
        <v>0</v>
      </c>
      <c r="AC31" s="510">
        <v>0</v>
      </c>
      <c r="AD31" s="510">
        <v>0</v>
      </c>
      <c r="AE31" s="510">
        <v>2589.2261989388398</v>
      </c>
      <c r="AF31" s="510">
        <v>256.61767863476302</v>
      </c>
      <c r="AG31" s="510">
        <v>0</v>
      </c>
      <c r="AH31" s="510">
        <v>0</v>
      </c>
      <c r="AI31" s="510">
        <v>0</v>
      </c>
      <c r="AJ31" s="510">
        <v>0</v>
      </c>
      <c r="AK31" s="510">
        <v>0</v>
      </c>
      <c r="AL31" s="510">
        <v>18.323030360000001</v>
      </c>
      <c r="AM31" s="510">
        <v>1707686</v>
      </c>
      <c r="AN31" s="510">
        <v>0</v>
      </c>
      <c r="AO31" s="510">
        <v>0</v>
      </c>
      <c r="AP31" s="510">
        <v>0</v>
      </c>
    </row>
    <row r="32" spans="1:42" ht="15" customHeight="1" x14ac:dyDescent="0.25">
      <c r="A32" s="8">
        <v>29</v>
      </c>
      <c r="B32" s="24" t="s">
        <v>65</v>
      </c>
      <c r="C32" s="25"/>
      <c r="D32" s="11"/>
      <c r="E32" s="499"/>
      <c r="F32" s="501" t="s">
        <v>66</v>
      </c>
      <c r="G32" s="510">
        <v>0</v>
      </c>
      <c r="H32" s="510">
        <v>0</v>
      </c>
      <c r="I32" s="510">
        <v>2391</v>
      </c>
      <c r="J32" s="510">
        <v>0</v>
      </c>
      <c r="K32" s="510">
        <v>3972307</v>
      </c>
      <c r="L32" s="510">
        <v>606722.18819000002</v>
      </c>
      <c r="M32" s="510">
        <v>1703.0660399999999</v>
      </c>
      <c r="N32" s="510">
        <v>538705</v>
      </c>
      <c r="O32" s="510">
        <v>119.57599999999999</v>
      </c>
      <c r="P32" s="510">
        <v>0</v>
      </c>
      <c r="Q32" s="510">
        <v>0</v>
      </c>
      <c r="R32" s="510">
        <v>0</v>
      </c>
      <c r="S32" s="510">
        <v>0</v>
      </c>
      <c r="T32" s="510">
        <v>4412.8528314907417</v>
      </c>
      <c r="U32" s="510">
        <v>2325442.3059375831</v>
      </c>
      <c r="V32" s="510">
        <v>0</v>
      </c>
      <c r="W32" s="510">
        <v>3942</v>
      </c>
      <c r="X32" s="510">
        <v>2907677.0473791617</v>
      </c>
      <c r="Y32" s="510">
        <v>45701369.079999998</v>
      </c>
      <c r="Z32" s="510">
        <v>473767</v>
      </c>
      <c r="AA32" s="510">
        <v>0</v>
      </c>
      <c r="AB32" s="510">
        <v>0</v>
      </c>
      <c r="AC32" s="510">
        <v>0</v>
      </c>
      <c r="AD32" s="510">
        <v>0</v>
      </c>
      <c r="AE32" s="510">
        <v>33.009981730000888</v>
      </c>
      <c r="AF32" s="510">
        <v>7185</v>
      </c>
      <c r="AG32" s="510">
        <v>2685</v>
      </c>
      <c r="AH32" s="510">
        <v>0</v>
      </c>
      <c r="AI32" s="510">
        <v>111</v>
      </c>
      <c r="AJ32" s="510">
        <v>0</v>
      </c>
      <c r="AK32" s="510">
        <v>2507</v>
      </c>
      <c r="AL32" s="510">
        <v>1833.8598643281275</v>
      </c>
      <c r="AM32" s="510">
        <v>463754</v>
      </c>
      <c r="AN32" s="510">
        <v>4380552872.2799997</v>
      </c>
      <c r="AO32" s="510">
        <v>437435953.97000003</v>
      </c>
      <c r="AP32" s="510">
        <v>0</v>
      </c>
    </row>
    <row r="33" spans="1:42" ht="15" customHeight="1" x14ac:dyDescent="0.25">
      <c r="A33" s="8">
        <v>30</v>
      </c>
      <c r="B33" s="21" t="s">
        <v>67</v>
      </c>
      <c r="C33" s="22"/>
      <c r="D33" s="11"/>
      <c r="E33" s="499"/>
      <c r="F33" s="501" t="s">
        <v>68</v>
      </c>
      <c r="G33" s="510">
        <v>7013997.2867209502</v>
      </c>
      <c r="H33" s="510">
        <v>8251000</v>
      </c>
      <c r="I33" s="510">
        <v>4373</v>
      </c>
      <c r="J33" s="510">
        <v>17736419</v>
      </c>
      <c r="K33" s="510">
        <v>10262537.537652938</v>
      </c>
      <c r="L33" s="510">
        <v>13553029.797038257</v>
      </c>
      <c r="M33" s="510">
        <v>42128.678024922097</v>
      </c>
      <c r="N33" s="510">
        <v>15803083</v>
      </c>
      <c r="O33" s="510">
        <v>2735</v>
      </c>
      <c r="P33" s="510">
        <v>1297.7956810000001</v>
      </c>
      <c r="Q33" s="510">
        <v>28518.035094813997</v>
      </c>
      <c r="R33" s="510">
        <v>15811689.839149825</v>
      </c>
      <c r="S33" s="510">
        <v>8597</v>
      </c>
      <c r="T33" s="510">
        <v>24942.521840176792</v>
      </c>
      <c r="U33" s="510">
        <v>13987992.854176302</v>
      </c>
      <c r="V33" s="510">
        <v>422557</v>
      </c>
      <c r="W33" s="510">
        <v>11878</v>
      </c>
      <c r="X33" s="510">
        <v>12216146</v>
      </c>
      <c r="Y33" s="510">
        <v>4200389671</v>
      </c>
      <c r="Z33" s="510">
        <v>6909619.3920649253</v>
      </c>
      <c r="AA33" s="510">
        <v>-826739</v>
      </c>
      <c r="AB33" s="510">
        <v>3211</v>
      </c>
      <c r="AC33" s="510">
        <v>4096</v>
      </c>
      <c r="AD33" s="510">
        <v>8225.1265798493478</v>
      </c>
      <c r="AE33" s="510">
        <v>14015.505642908591</v>
      </c>
      <c r="AF33" s="510">
        <v>33617.045021701619</v>
      </c>
      <c r="AG33" s="510">
        <v>11555.4734262407</v>
      </c>
      <c r="AH33" s="510">
        <v>1693</v>
      </c>
      <c r="AI33" s="510">
        <v>16433</v>
      </c>
      <c r="AJ33" s="510">
        <v>936000</v>
      </c>
      <c r="AK33" s="510">
        <v>5487</v>
      </c>
      <c r="AL33" s="510">
        <v>18943.396112820563</v>
      </c>
      <c r="AM33" s="510">
        <v>4200917</v>
      </c>
      <c r="AN33" s="510">
        <v>885558000</v>
      </c>
      <c r="AO33" s="510">
        <v>1403551000</v>
      </c>
      <c r="AP33" s="510">
        <v>1931626</v>
      </c>
    </row>
    <row r="34" spans="1:42" ht="15" customHeight="1" x14ac:dyDescent="0.25">
      <c r="A34" s="8">
        <v>38</v>
      </c>
      <c r="B34" s="558" t="s">
        <v>69</v>
      </c>
      <c r="C34" s="559"/>
      <c r="D34" s="560"/>
      <c r="E34" s="503" t="s">
        <v>17</v>
      </c>
      <c r="F34" s="501" t="s">
        <v>70</v>
      </c>
      <c r="G34" s="510">
        <v>2405250023.7752466</v>
      </c>
      <c r="H34" s="510">
        <v>2868514516.3808699</v>
      </c>
      <c r="I34" s="510">
        <v>663362.29999999993</v>
      </c>
      <c r="J34" s="510">
        <v>2493956102.5</v>
      </c>
      <c r="K34" s="510">
        <v>681163781.04474306</v>
      </c>
      <c r="L34" s="510">
        <v>376236274.77390075</v>
      </c>
      <c r="M34" s="510">
        <v>1379106.7149738988</v>
      </c>
      <c r="N34" s="510">
        <v>1936974555.3</v>
      </c>
      <c r="O34" s="510">
        <v>230991.54858738001</v>
      </c>
      <c r="P34" s="510">
        <v>236939.41234585541</v>
      </c>
      <c r="Q34" s="510">
        <v>3539211.4840900009</v>
      </c>
      <c r="R34" s="510">
        <v>2031623066.5639412</v>
      </c>
      <c r="S34" s="510">
        <v>1235027</v>
      </c>
      <c r="T34" s="510">
        <v>1746395</v>
      </c>
      <c r="U34" s="510">
        <v>635772768.0741688</v>
      </c>
      <c r="V34" s="510">
        <v>212493358.45458001</v>
      </c>
      <c r="W34" s="510">
        <v>1296685.1514638928</v>
      </c>
      <c r="X34" s="510">
        <v>686739463.08654892</v>
      </c>
      <c r="Y34" s="510">
        <v>211182777539.39001</v>
      </c>
      <c r="Z34" s="510">
        <v>1004589780.1410151</v>
      </c>
      <c r="AA34" s="510">
        <v>421707625.30000001</v>
      </c>
      <c r="AB34" s="510">
        <v>934934.3</v>
      </c>
      <c r="AC34" s="510">
        <v>731867.1</v>
      </c>
      <c r="AD34" s="510">
        <v>805067.27089730103</v>
      </c>
      <c r="AE34" s="510">
        <v>1636252.6420974978</v>
      </c>
      <c r="AF34" s="510">
        <v>3330057.5708091748</v>
      </c>
      <c r="AG34" s="510">
        <v>833091.62657375925</v>
      </c>
      <c r="AH34" s="510">
        <v>211135.8</v>
      </c>
      <c r="AI34" s="510">
        <v>1162209.3</v>
      </c>
      <c r="AJ34" s="510">
        <v>289756515.20661879</v>
      </c>
      <c r="AK34" s="510">
        <v>686192</v>
      </c>
      <c r="AL34" s="510">
        <v>1747748.1287083481</v>
      </c>
      <c r="AM34" s="510">
        <v>335983802.39999998</v>
      </c>
      <c r="AN34" s="510">
        <v>205373367594.78659</v>
      </c>
      <c r="AO34" s="510">
        <v>312590794523.39001</v>
      </c>
      <c r="AP34" s="510">
        <v>225518969.19999999</v>
      </c>
    </row>
    <row r="35" spans="1:42" ht="15" customHeight="1" x14ac:dyDescent="0.25">
      <c r="A35" s="8">
        <v>39</v>
      </c>
      <c r="B35" s="19" t="s">
        <v>73</v>
      </c>
      <c r="C35" s="29"/>
      <c r="D35" s="30"/>
      <c r="E35" s="499"/>
      <c r="F35" s="490" t="s">
        <v>74</v>
      </c>
      <c r="G35" s="510">
        <v>184668400.17526299</v>
      </c>
      <c r="H35" s="510">
        <v>135617341</v>
      </c>
      <c r="I35" s="510">
        <v>34768</v>
      </c>
      <c r="J35" s="510">
        <v>40674432.878595404</v>
      </c>
      <c r="K35" s="510">
        <v>9594160</v>
      </c>
      <c r="L35" s="510">
        <v>211096.38191000003</v>
      </c>
      <c r="M35" s="510">
        <v>61750.201000000001</v>
      </c>
      <c r="N35" s="510">
        <v>70183514</v>
      </c>
      <c r="O35" s="510">
        <v>10629.569988469999</v>
      </c>
      <c r="P35" s="510">
        <v>18343</v>
      </c>
      <c r="Q35" s="510">
        <v>30526.300000000007</v>
      </c>
      <c r="R35" s="510">
        <v>51949367.004000001</v>
      </c>
      <c r="S35" s="510">
        <v>25857</v>
      </c>
      <c r="T35" s="510">
        <v>48794.524887253021</v>
      </c>
      <c r="U35" s="510">
        <v>14854005.100509999</v>
      </c>
      <c r="V35" s="510">
        <v>2582457</v>
      </c>
      <c r="W35" s="510">
        <v>32791.102537710001</v>
      </c>
      <c r="X35" s="510">
        <v>66315701.024647743</v>
      </c>
      <c r="Y35" s="510">
        <v>14313631000</v>
      </c>
      <c r="Z35" s="510">
        <v>20451390</v>
      </c>
      <c r="AA35" s="510">
        <v>40113732</v>
      </c>
      <c r="AB35" s="510">
        <v>47341</v>
      </c>
      <c r="AC35" s="510">
        <v>23940</v>
      </c>
      <c r="AD35" s="510">
        <v>114876</v>
      </c>
      <c r="AE35" s="510">
        <v>39976.083476438085</v>
      </c>
      <c r="AF35" s="510">
        <v>370248.61084486631</v>
      </c>
      <c r="AG35" s="510">
        <v>5075</v>
      </c>
      <c r="AH35" s="510">
        <v>982</v>
      </c>
      <c r="AI35" s="510">
        <v>62446</v>
      </c>
      <c r="AJ35" s="510">
        <v>47758066</v>
      </c>
      <c r="AK35" s="510">
        <v>109275</v>
      </c>
      <c r="AL35" s="510">
        <v>38096.376501382983</v>
      </c>
      <c r="AM35" s="510">
        <v>68927020.471497238</v>
      </c>
      <c r="AN35" s="510">
        <v>21333000000</v>
      </c>
      <c r="AO35" s="510">
        <v>61517304183</v>
      </c>
      <c r="AP35" s="510">
        <v>25596880.228</v>
      </c>
    </row>
    <row r="36" spans="1:42" ht="15" customHeight="1" x14ac:dyDescent="0.25">
      <c r="A36" s="8">
        <v>40</v>
      </c>
      <c r="B36" s="24" t="s">
        <v>75</v>
      </c>
      <c r="C36" s="25"/>
      <c r="D36" s="11"/>
      <c r="E36" s="499"/>
      <c r="F36" s="490" t="s">
        <v>76</v>
      </c>
      <c r="G36" s="510">
        <v>0</v>
      </c>
      <c r="H36" s="510">
        <v>0</v>
      </c>
      <c r="I36" s="510">
        <v>2115</v>
      </c>
      <c r="J36" s="510">
        <v>0</v>
      </c>
      <c r="K36" s="510">
        <v>0</v>
      </c>
      <c r="L36" s="510">
        <v>0</v>
      </c>
      <c r="M36" s="510">
        <v>0</v>
      </c>
      <c r="N36" s="510">
        <v>543890</v>
      </c>
      <c r="O36" s="510">
        <v>0</v>
      </c>
      <c r="P36" s="510">
        <v>1155</v>
      </c>
      <c r="Q36" s="510">
        <v>1820.5532039080092</v>
      </c>
      <c r="R36" s="510">
        <v>498155</v>
      </c>
      <c r="S36" s="510">
        <v>0</v>
      </c>
      <c r="T36" s="510">
        <v>0</v>
      </c>
      <c r="U36" s="510">
        <v>2308955.7470249725</v>
      </c>
      <c r="V36" s="510">
        <v>2346543</v>
      </c>
      <c r="W36" s="510">
        <v>0</v>
      </c>
      <c r="X36" s="510">
        <v>0</v>
      </c>
      <c r="Y36" s="510">
        <v>0</v>
      </c>
      <c r="Z36" s="510">
        <v>36000</v>
      </c>
      <c r="AA36" s="510">
        <v>122533</v>
      </c>
      <c r="AB36" s="510">
        <v>0</v>
      </c>
      <c r="AC36" s="510">
        <v>1241</v>
      </c>
      <c r="AD36" s="510">
        <v>6768</v>
      </c>
      <c r="AE36" s="510">
        <v>687</v>
      </c>
      <c r="AF36" s="510">
        <v>20277.770305708909</v>
      </c>
      <c r="AG36" s="510">
        <v>1699</v>
      </c>
      <c r="AH36" s="510">
        <v>0</v>
      </c>
      <c r="AI36" s="510">
        <v>4</v>
      </c>
      <c r="AJ36" s="510">
        <v>0</v>
      </c>
      <c r="AK36" s="510">
        <v>0</v>
      </c>
      <c r="AL36" s="510">
        <v>79.699825700643927</v>
      </c>
      <c r="AM36" s="510">
        <v>268631</v>
      </c>
      <c r="AN36" s="510">
        <v>550000000</v>
      </c>
      <c r="AO36" s="510">
        <v>755980894</v>
      </c>
      <c r="AP36" s="510">
        <v>10878</v>
      </c>
    </row>
    <row r="37" spans="1:42" ht="15" customHeight="1" x14ac:dyDescent="0.25">
      <c r="A37" s="8">
        <v>41</v>
      </c>
      <c r="B37" s="21" t="s">
        <v>77</v>
      </c>
      <c r="C37" s="22"/>
      <c r="D37" s="11"/>
      <c r="E37" s="499"/>
      <c r="F37" s="490" t="s">
        <v>78</v>
      </c>
      <c r="G37" s="510">
        <v>47656765.852218002</v>
      </c>
      <c r="H37" s="510">
        <v>8669358</v>
      </c>
      <c r="I37" s="510">
        <v>3506</v>
      </c>
      <c r="J37" s="510">
        <v>20146207</v>
      </c>
      <c r="K37" s="510">
        <v>1631783.2016778663</v>
      </c>
      <c r="L37" s="510">
        <v>14392.131460000001</v>
      </c>
      <c r="M37" s="510">
        <v>1263.3660741000003</v>
      </c>
      <c r="N37" s="510">
        <v>7853301</v>
      </c>
      <c r="O37" s="510">
        <v>2157.72945046</v>
      </c>
      <c r="P37" s="510">
        <v>226</v>
      </c>
      <c r="Q37" s="510">
        <v>8960.9</v>
      </c>
      <c r="R37" s="510">
        <v>45489068</v>
      </c>
      <c r="S37" s="510">
        <v>42994</v>
      </c>
      <c r="T37" s="510">
        <v>35153.300196078002</v>
      </c>
      <c r="U37" s="510">
        <v>2529101.0475500003</v>
      </c>
      <c r="V37" s="510">
        <v>412168</v>
      </c>
      <c r="W37" s="510">
        <v>12706.553094741401</v>
      </c>
      <c r="X37" s="510">
        <v>1059793</v>
      </c>
      <c r="Y37" s="510">
        <v>5729494471</v>
      </c>
      <c r="Z37" s="510">
        <v>28365811.514709998</v>
      </c>
      <c r="AA37" s="510">
        <v>2645987</v>
      </c>
      <c r="AB37" s="510">
        <v>8401</v>
      </c>
      <c r="AC37" s="510">
        <v>5351</v>
      </c>
      <c r="AD37" s="510">
        <v>6487</v>
      </c>
      <c r="AE37" s="510">
        <v>14551</v>
      </c>
      <c r="AF37" s="510">
        <v>1989</v>
      </c>
      <c r="AG37" s="510">
        <v>10573</v>
      </c>
      <c r="AH37" s="510">
        <v>312</v>
      </c>
      <c r="AI37" s="510">
        <v>17378</v>
      </c>
      <c r="AJ37" s="510">
        <v>640378.55031281582</v>
      </c>
      <c r="AK37" s="510">
        <v>7727</v>
      </c>
      <c r="AL37" s="510">
        <v>6263.6933159283371</v>
      </c>
      <c r="AM37" s="510">
        <v>18149899.386753004</v>
      </c>
      <c r="AN37" s="510">
        <v>319000000</v>
      </c>
      <c r="AO37" s="510">
        <v>13252048078.27001</v>
      </c>
      <c r="AP37" s="510">
        <v>633992</v>
      </c>
    </row>
    <row r="38" spans="1:42" ht="15" customHeight="1" x14ac:dyDescent="0.25">
      <c r="A38" s="8">
        <v>42</v>
      </c>
      <c r="B38" s="24" t="s">
        <v>80</v>
      </c>
      <c r="C38" s="25"/>
      <c r="D38" s="11"/>
      <c r="E38" s="499"/>
      <c r="F38" s="490" t="s">
        <v>81</v>
      </c>
      <c r="G38" s="510">
        <v>89635029</v>
      </c>
      <c r="H38" s="510">
        <v>38788459.961373828</v>
      </c>
      <c r="I38" s="510">
        <v>42924</v>
      </c>
      <c r="J38" s="510">
        <v>127839120.83835295</v>
      </c>
      <c r="K38" s="510">
        <v>4212315.2197450977</v>
      </c>
      <c r="L38" s="510">
        <v>340941.91045100929</v>
      </c>
      <c r="M38" s="510">
        <v>4664.8407302299993</v>
      </c>
      <c r="N38" s="510">
        <v>9827262</v>
      </c>
      <c r="O38" s="510">
        <v>2091.4700313794619</v>
      </c>
      <c r="P38" s="510">
        <v>3249</v>
      </c>
      <c r="Q38" s="510">
        <v>351107.84333197912</v>
      </c>
      <c r="R38" s="510">
        <v>0</v>
      </c>
      <c r="S38" s="510">
        <v>1828</v>
      </c>
      <c r="T38" s="510">
        <v>0</v>
      </c>
      <c r="U38" s="510">
        <v>6257664.0683300002</v>
      </c>
      <c r="V38" s="510">
        <v>13155595</v>
      </c>
      <c r="W38" s="510">
        <v>15710.016180259399</v>
      </c>
      <c r="X38" s="510">
        <v>4906506.7769895196</v>
      </c>
      <c r="Y38" s="510">
        <v>316915830</v>
      </c>
      <c r="Z38" s="510">
        <v>0</v>
      </c>
      <c r="AA38" s="510">
        <v>4608869</v>
      </c>
      <c r="AB38" s="510">
        <v>18397</v>
      </c>
      <c r="AC38" s="510">
        <v>861</v>
      </c>
      <c r="AD38" s="510">
        <v>7888.5183999999999</v>
      </c>
      <c r="AE38" s="510">
        <v>11263</v>
      </c>
      <c r="AF38" s="510">
        <v>28242</v>
      </c>
      <c r="AG38" s="510">
        <v>1527</v>
      </c>
      <c r="AH38" s="510">
        <v>429</v>
      </c>
      <c r="AI38" s="510">
        <v>4640</v>
      </c>
      <c r="AJ38" s="510">
        <v>3554360.806958965</v>
      </c>
      <c r="AK38" s="510">
        <v>3254</v>
      </c>
      <c r="AL38" s="510">
        <v>204.10003272653827</v>
      </c>
      <c r="AM38" s="510">
        <v>13091658.550000001</v>
      </c>
      <c r="AN38" s="510">
        <v>4234586311</v>
      </c>
      <c r="AO38" s="510">
        <v>2598187652</v>
      </c>
      <c r="AP38" s="510">
        <v>3982221</v>
      </c>
    </row>
    <row r="39" spans="1:42" ht="15" customHeight="1" x14ac:dyDescent="0.25">
      <c r="A39" s="8">
        <v>43</v>
      </c>
      <c r="B39" s="24" t="s">
        <v>82</v>
      </c>
      <c r="C39" s="25"/>
      <c r="D39" s="11"/>
      <c r="E39" s="499"/>
      <c r="F39" s="490" t="s">
        <v>83</v>
      </c>
      <c r="G39" s="510">
        <v>4995178</v>
      </c>
      <c r="H39" s="510">
        <v>2625525.9075833717</v>
      </c>
      <c r="I39" s="510">
        <v>1288</v>
      </c>
      <c r="J39" s="510">
        <v>0</v>
      </c>
      <c r="K39" s="510">
        <v>9545258.7163724788</v>
      </c>
      <c r="L39" s="510">
        <v>6950742.9091600012</v>
      </c>
      <c r="M39" s="510">
        <v>10571.898269770001</v>
      </c>
      <c r="N39" s="510">
        <v>86353909</v>
      </c>
      <c r="O39" s="510">
        <v>3333.1375061554122</v>
      </c>
      <c r="P39" s="510">
        <v>612</v>
      </c>
      <c r="Q39" s="510">
        <v>7370.721973948851</v>
      </c>
      <c r="R39" s="510">
        <v>35426339</v>
      </c>
      <c r="S39" s="510">
        <v>5819</v>
      </c>
      <c r="T39" s="510">
        <v>49245.87503190765</v>
      </c>
      <c r="U39" s="510">
        <v>12491582.055385189</v>
      </c>
      <c r="V39" s="510">
        <v>0</v>
      </c>
      <c r="W39" s="510">
        <v>0</v>
      </c>
      <c r="X39" s="510">
        <v>4981280.3983794497</v>
      </c>
      <c r="Y39" s="510">
        <v>2801223067.27</v>
      </c>
      <c r="Z39" s="510">
        <v>24317098</v>
      </c>
      <c r="AA39" s="510">
        <v>432918</v>
      </c>
      <c r="AB39" s="510">
        <v>11989</v>
      </c>
      <c r="AC39" s="510">
        <v>2410</v>
      </c>
      <c r="AD39" s="510">
        <v>17358.1351</v>
      </c>
      <c r="AE39" s="510">
        <v>9662</v>
      </c>
      <c r="AF39" s="510">
        <v>27783</v>
      </c>
      <c r="AG39" s="510">
        <v>1667</v>
      </c>
      <c r="AH39" s="510">
        <v>38</v>
      </c>
      <c r="AI39" s="510">
        <v>3941</v>
      </c>
      <c r="AJ39" s="510">
        <v>13067501.064779809</v>
      </c>
      <c r="AK39" s="510">
        <v>35243</v>
      </c>
      <c r="AL39" s="510">
        <v>10145.320875594132</v>
      </c>
      <c r="AM39" s="510">
        <v>31130692.310000002</v>
      </c>
      <c r="AN39" s="510">
        <v>15099775914</v>
      </c>
      <c r="AO39" s="510">
        <v>30115676770</v>
      </c>
      <c r="AP39" s="510">
        <v>23566349</v>
      </c>
    </row>
    <row r="40" spans="1:42" ht="15" customHeight="1" x14ac:dyDescent="0.25">
      <c r="A40" s="8">
        <v>44</v>
      </c>
      <c r="B40" s="24" t="s">
        <v>84</v>
      </c>
      <c r="C40" s="25"/>
      <c r="D40" s="11"/>
      <c r="E40" s="499"/>
      <c r="F40" s="490" t="s">
        <v>85</v>
      </c>
      <c r="G40" s="510">
        <v>107592</v>
      </c>
      <c r="H40" s="510">
        <v>0</v>
      </c>
      <c r="I40" s="510">
        <v>160</v>
      </c>
      <c r="J40" s="510">
        <v>0</v>
      </c>
      <c r="K40" s="510">
        <v>208624.52417351774</v>
      </c>
      <c r="L40" s="510">
        <v>24761.673260000003</v>
      </c>
      <c r="M40" s="510">
        <v>102.705</v>
      </c>
      <c r="N40" s="510">
        <v>172929</v>
      </c>
      <c r="O40" s="510">
        <v>580.79376136248197</v>
      </c>
      <c r="P40" s="510">
        <v>0</v>
      </c>
      <c r="Q40" s="510">
        <v>7370.721973948851</v>
      </c>
      <c r="R40" s="510">
        <v>3224614.3320012568</v>
      </c>
      <c r="S40" s="510">
        <v>342</v>
      </c>
      <c r="T40" s="510">
        <v>555.64200000000005</v>
      </c>
      <c r="U40" s="510">
        <v>1450697.9027936594</v>
      </c>
      <c r="V40" s="510">
        <v>192095</v>
      </c>
      <c r="W40" s="510">
        <v>0</v>
      </c>
      <c r="X40" s="510">
        <v>244803.76300000001</v>
      </c>
      <c r="Y40" s="510">
        <v>1203551567.4000001</v>
      </c>
      <c r="Z40" s="510">
        <v>1801897</v>
      </c>
      <c r="AA40" s="510">
        <v>0</v>
      </c>
      <c r="AB40" s="510">
        <v>75</v>
      </c>
      <c r="AC40" s="510">
        <v>80</v>
      </c>
      <c r="AD40" s="510">
        <v>156.34649999999999</v>
      </c>
      <c r="AE40" s="510">
        <v>508</v>
      </c>
      <c r="AF40" s="510">
        <v>127</v>
      </c>
      <c r="AG40" s="510">
        <v>1692</v>
      </c>
      <c r="AH40" s="510">
        <v>59</v>
      </c>
      <c r="AI40" s="510">
        <v>547</v>
      </c>
      <c r="AJ40" s="510">
        <v>33131</v>
      </c>
      <c r="AK40" s="510">
        <v>186</v>
      </c>
      <c r="AL40" s="510">
        <v>166.09583806121336</v>
      </c>
      <c r="AM40" s="510">
        <v>1286453</v>
      </c>
      <c r="AN40" s="510">
        <v>0</v>
      </c>
      <c r="AO40" s="510">
        <v>426123528</v>
      </c>
      <c r="AP40" s="510">
        <v>96421</v>
      </c>
    </row>
    <row r="41" spans="1:42" ht="15" customHeight="1" x14ac:dyDescent="0.25">
      <c r="A41" s="8">
        <v>45</v>
      </c>
      <c r="B41" s="24" t="s">
        <v>86</v>
      </c>
      <c r="C41" s="25"/>
      <c r="D41" s="11"/>
      <c r="E41" s="499"/>
      <c r="F41" s="490" t="s">
        <v>87</v>
      </c>
      <c r="G41" s="510">
        <v>0</v>
      </c>
      <c r="H41" s="510">
        <v>469914.592</v>
      </c>
      <c r="I41" s="510">
        <v>0</v>
      </c>
      <c r="J41" s="510">
        <v>0</v>
      </c>
      <c r="K41" s="510">
        <v>27086</v>
      </c>
      <c r="L41" s="510">
        <v>0</v>
      </c>
      <c r="M41" s="510">
        <v>0</v>
      </c>
      <c r="N41" s="510">
        <v>4842188</v>
      </c>
      <c r="O41" s="510">
        <v>0</v>
      </c>
      <c r="P41" s="510">
        <v>0</v>
      </c>
      <c r="Q41" s="510">
        <v>1820.5532039080092</v>
      </c>
      <c r="R41" s="510">
        <v>1532324</v>
      </c>
      <c r="S41" s="510">
        <v>0</v>
      </c>
      <c r="T41" s="510">
        <v>0</v>
      </c>
      <c r="U41" s="510">
        <v>2724821.6677561798</v>
      </c>
      <c r="V41" s="510">
        <v>0</v>
      </c>
      <c r="W41" s="510">
        <v>0</v>
      </c>
      <c r="X41" s="510">
        <v>0</v>
      </c>
      <c r="Y41" s="510">
        <v>0</v>
      </c>
      <c r="Z41" s="510">
        <v>0</v>
      </c>
      <c r="AA41" s="510">
        <v>0</v>
      </c>
      <c r="AB41" s="510">
        <v>0</v>
      </c>
      <c r="AC41" s="510">
        <v>42</v>
      </c>
      <c r="AD41" s="510">
        <v>0</v>
      </c>
      <c r="AE41" s="510">
        <v>350.78828685706878</v>
      </c>
      <c r="AF41" s="510">
        <v>8177</v>
      </c>
      <c r="AG41" s="510">
        <v>0</v>
      </c>
      <c r="AH41" s="510">
        <v>0</v>
      </c>
      <c r="AI41" s="510">
        <v>16</v>
      </c>
      <c r="AJ41" s="510">
        <v>32079.853150417453</v>
      </c>
      <c r="AK41" s="510">
        <v>2926</v>
      </c>
      <c r="AL41" s="510">
        <v>32.83114836940473</v>
      </c>
      <c r="AM41" s="510">
        <v>226600</v>
      </c>
      <c r="AN41" s="510">
        <v>33000000</v>
      </c>
      <c r="AO41" s="510">
        <v>2126105304</v>
      </c>
      <c r="AP41" s="510">
        <v>0</v>
      </c>
    </row>
    <row r="42" spans="1:42" ht="15" customHeight="1" x14ac:dyDescent="0.25">
      <c r="A42" s="8">
        <v>46</v>
      </c>
      <c r="B42" s="24" t="s">
        <v>88</v>
      </c>
      <c r="C42" s="25"/>
      <c r="D42" s="11"/>
      <c r="E42" s="499"/>
      <c r="F42" s="490" t="s">
        <v>89</v>
      </c>
      <c r="G42" s="510">
        <v>212613.67674593499</v>
      </c>
      <c r="H42" s="510">
        <v>12001513</v>
      </c>
      <c r="I42" s="510">
        <v>4550</v>
      </c>
      <c r="J42" s="510">
        <v>132458829.1718168</v>
      </c>
      <c r="K42" s="510">
        <v>3707672</v>
      </c>
      <c r="L42" s="510">
        <v>9482969</v>
      </c>
      <c r="M42" s="510">
        <v>5204.3186974094388</v>
      </c>
      <c r="N42" s="510">
        <v>1158654.87185</v>
      </c>
      <c r="O42" s="510">
        <v>103.46652866744456</v>
      </c>
      <c r="P42" s="510">
        <v>18</v>
      </c>
      <c r="Q42" s="510">
        <v>774</v>
      </c>
      <c r="R42" s="510">
        <v>15935572.79073376</v>
      </c>
      <c r="S42" s="510">
        <v>2014</v>
      </c>
      <c r="T42" s="510">
        <v>4283.80108994293</v>
      </c>
      <c r="U42" s="510">
        <v>11736203.761535948</v>
      </c>
      <c r="V42" s="510">
        <v>5273216</v>
      </c>
      <c r="W42" s="510">
        <v>24134</v>
      </c>
      <c r="X42" s="510">
        <v>992620.38523993397</v>
      </c>
      <c r="Y42" s="510">
        <v>1300911566.8099999</v>
      </c>
      <c r="Z42" s="510">
        <v>3477461</v>
      </c>
      <c r="AA42" s="510">
        <v>40751</v>
      </c>
      <c r="AB42" s="510">
        <v>14576</v>
      </c>
      <c r="AC42" s="510">
        <v>3757</v>
      </c>
      <c r="AD42" s="510">
        <v>1586.7835</v>
      </c>
      <c r="AE42" s="510">
        <v>2714</v>
      </c>
      <c r="AF42" s="510">
        <v>15209</v>
      </c>
      <c r="AG42" s="510">
        <v>1351</v>
      </c>
      <c r="AH42" s="510">
        <v>0</v>
      </c>
      <c r="AI42" s="510">
        <v>2948</v>
      </c>
      <c r="AJ42" s="510">
        <v>0</v>
      </c>
      <c r="AK42" s="510">
        <v>28605</v>
      </c>
      <c r="AL42" s="510">
        <v>4645.4343494760396</v>
      </c>
      <c r="AM42" s="510">
        <v>1249015</v>
      </c>
      <c r="AN42" s="510">
        <v>3274000000</v>
      </c>
      <c r="AO42" s="510">
        <v>1152271429</v>
      </c>
      <c r="AP42" s="510">
        <v>94874</v>
      </c>
    </row>
    <row r="43" spans="1:42" ht="15" customHeight="1" x14ac:dyDescent="0.25">
      <c r="A43" s="8">
        <v>47</v>
      </c>
      <c r="B43" s="31" t="s">
        <v>90</v>
      </c>
      <c r="C43" s="32"/>
      <c r="D43" s="11"/>
      <c r="E43" s="499"/>
      <c r="F43" s="490" t="s">
        <v>91</v>
      </c>
      <c r="G43" s="510">
        <v>0</v>
      </c>
      <c r="H43" s="510">
        <v>42494</v>
      </c>
      <c r="I43" s="510">
        <v>3629</v>
      </c>
      <c r="J43" s="510">
        <v>44230133.072579697</v>
      </c>
      <c r="K43" s="510">
        <v>0</v>
      </c>
      <c r="L43" s="510">
        <v>0</v>
      </c>
      <c r="M43" s="510">
        <v>0</v>
      </c>
      <c r="N43" s="510">
        <v>0</v>
      </c>
      <c r="O43" s="510">
        <v>30.685464739999997</v>
      </c>
      <c r="P43" s="510">
        <v>0</v>
      </c>
      <c r="Q43" s="510">
        <v>30</v>
      </c>
      <c r="R43" s="510">
        <v>0</v>
      </c>
      <c r="S43" s="510">
        <v>0</v>
      </c>
      <c r="T43" s="510">
        <v>0</v>
      </c>
      <c r="U43" s="510">
        <v>20202.016685510262</v>
      </c>
      <c r="V43" s="510">
        <v>0</v>
      </c>
      <c r="W43" s="510">
        <v>10736</v>
      </c>
      <c r="X43" s="510">
        <v>43658.845876983702</v>
      </c>
      <c r="Y43" s="510">
        <v>0</v>
      </c>
      <c r="Z43" s="510">
        <v>0</v>
      </c>
      <c r="AA43" s="510">
        <v>0</v>
      </c>
      <c r="AB43" s="510">
        <v>0</v>
      </c>
      <c r="AC43" s="510">
        <v>0</v>
      </c>
      <c r="AD43" s="510">
        <v>0</v>
      </c>
      <c r="AE43" s="510">
        <v>0</v>
      </c>
      <c r="AF43" s="510">
        <v>0</v>
      </c>
      <c r="AG43" s="510">
        <v>0</v>
      </c>
      <c r="AH43" s="510">
        <v>0</v>
      </c>
      <c r="AI43" s="510">
        <v>165</v>
      </c>
      <c r="AJ43" s="510">
        <v>0</v>
      </c>
      <c r="AK43" s="510">
        <v>13520</v>
      </c>
      <c r="AL43" s="510">
        <v>144.64767772807599</v>
      </c>
      <c r="AM43" s="510">
        <v>34861</v>
      </c>
      <c r="AN43" s="510">
        <v>0</v>
      </c>
      <c r="AO43" s="510">
        <v>84773</v>
      </c>
      <c r="AP43" s="510">
        <v>0</v>
      </c>
    </row>
    <row r="44" spans="1:42" ht="15" customHeight="1" x14ac:dyDescent="0.25">
      <c r="A44" s="8">
        <v>48</v>
      </c>
      <c r="B44" s="21" t="s">
        <v>92</v>
      </c>
      <c r="C44" s="22"/>
      <c r="D44" s="11"/>
      <c r="E44" s="499"/>
      <c r="F44" s="490" t="s">
        <v>93</v>
      </c>
      <c r="G44" s="510">
        <v>0</v>
      </c>
      <c r="H44" s="510">
        <v>391782</v>
      </c>
      <c r="I44" s="510">
        <v>191</v>
      </c>
      <c r="J44" s="510">
        <v>30782112.4273137</v>
      </c>
      <c r="K44" s="510">
        <v>277429.01848124689</v>
      </c>
      <c r="L44" s="510">
        <v>514299.76308500656</v>
      </c>
      <c r="M44" s="510">
        <v>4933.8999999999996</v>
      </c>
      <c r="N44" s="510">
        <v>71566</v>
      </c>
      <c r="O44" s="510">
        <v>148.77705912018351</v>
      </c>
      <c r="P44" s="510">
        <v>223</v>
      </c>
      <c r="Q44" s="510">
        <v>343</v>
      </c>
      <c r="R44" s="510">
        <v>1489820.7505468354</v>
      </c>
      <c r="S44" s="510">
        <v>4767</v>
      </c>
      <c r="T44" s="510">
        <v>10487.171835236237</v>
      </c>
      <c r="U44" s="510">
        <v>284072</v>
      </c>
      <c r="V44" s="510">
        <v>349033</v>
      </c>
      <c r="W44" s="510">
        <v>14958.77506236</v>
      </c>
      <c r="X44" s="510">
        <v>361002</v>
      </c>
      <c r="Y44" s="510">
        <v>6345739541.96</v>
      </c>
      <c r="Z44" s="510">
        <v>12686995</v>
      </c>
      <c r="AA44" s="510">
        <v>3376816</v>
      </c>
      <c r="AB44" s="510">
        <v>7148</v>
      </c>
      <c r="AC44" s="510">
        <v>445</v>
      </c>
      <c r="AD44" s="510">
        <v>205.2576</v>
      </c>
      <c r="AE44" s="510">
        <v>18479.801197316021</v>
      </c>
      <c r="AF44" s="510">
        <v>7933.4467205538886</v>
      </c>
      <c r="AG44" s="510">
        <v>820.86733700000002</v>
      </c>
      <c r="AH44" s="510">
        <v>0</v>
      </c>
      <c r="AI44" s="510">
        <v>2628</v>
      </c>
      <c r="AJ44" s="510">
        <v>2267013</v>
      </c>
      <c r="AK44" s="510">
        <v>3208</v>
      </c>
      <c r="AL44" s="510">
        <v>165435.27973059536</v>
      </c>
      <c r="AM44" s="510">
        <v>154350</v>
      </c>
      <c r="AN44" s="510">
        <v>11365501</v>
      </c>
      <c r="AO44" s="510">
        <v>17110827373</v>
      </c>
      <c r="AP44" s="510">
        <v>22667</v>
      </c>
    </row>
    <row r="45" spans="1:42" ht="15" customHeight="1" x14ac:dyDescent="0.25">
      <c r="A45" s="8">
        <v>49</v>
      </c>
      <c r="B45" s="24" t="s">
        <v>95</v>
      </c>
      <c r="C45" s="25"/>
      <c r="D45" s="11"/>
      <c r="E45" s="499"/>
      <c r="F45" s="490" t="s">
        <v>96</v>
      </c>
      <c r="G45" s="510">
        <v>0</v>
      </c>
      <c r="H45" s="510">
        <v>7796924</v>
      </c>
      <c r="I45" s="510">
        <v>2171</v>
      </c>
      <c r="J45" s="510">
        <v>15984407.029790403</v>
      </c>
      <c r="K45" s="510">
        <v>5089350.8088544579</v>
      </c>
      <c r="L45" s="510">
        <v>309474.8774399996</v>
      </c>
      <c r="M45" s="510">
        <v>1762</v>
      </c>
      <c r="N45" s="510">
        <v>2860000</v>
      </c>
      <c r="O45" s="510">
        <v>496.70447086000001</v>
      </c>
      <c r="P45" s="510">
        <v>937.26081344716295</v>
      </c>
      <c r="Q45" s="510">
        <v>14243</v>
      </c>
      <c r="R45" s="510">
        <v>7355038.2193761123</v>
      </c>
      <c r="S45" s="510">
        <v>12293</v>
      </c>
      <c r="T45" s="510">
        <v>9955.6933271951639</v>
      </c>
      <c r="U45" s="510">
        <v>138977</v>
      </c>
      <c r="V45" s="510">
        <v>57159</v>
      </c>
      <c r="W45" s="510">
        <v>6983.9317760000004</v>
      </c>
      <c r="X45" s="510">
        <v>4549967</v>
      </c>
      <c r="Y45" s="510">
        <v>699915065.65999997</v>
      </c>
      <c r="Z45" s="510">
        <v>23824595</v>
      </c>
      <c r="AA45" s="510">
        <v>695897</v>
      </c>
      <c r="AB45" s="510">
        <v>7375</v>
      </c>
      <c r="AC45" s="510">
        <v>2576</v>
      </c>
      <c r="AD45" s="510">
        <v>11551.3123</v>
      </c>
      <c r="AE45" s="510">
        <v>9382.2674238916188</v>
      </c>
      <c r="AF45" s="510">
        <v>15539.204694303871</v>
      </c>
      <c r="AG45" s="510">
        <v>1023</v>
      </c>
      <c r="AH45" s="510">
        <v>230</v>
      </c>
      <c r="AI45" s="510">
        <v>7850</v>
      </c>
      <c r="AJ45" s="510">
        <v>3742581.2464752672</v>
      </c>
      <c r="AK45" s="510">
        <v>6048</v>
      </c>
      <c r="AL45" s="510">
        <v>14687.581463571678</v>
      </c>
      <c r="AM45" s="510">
        <v>3997726.6077431897</v>
      </c>
      <c r="AN45" s="510">
        <v>1630305293.2299993</v>
      </c>
      <c r="AO45" s="510">
        <v>2266610338</v>
      </c>
      <c r="AP45" s="510">
        <v>2696335</v>
      </c>
    </row>
    <row r="46" spans="1:42" ht="15" customHeight="1" x14ac:dyDescent="0.25">
      <c r="A46" s="8">
        <v>50</v>
      </c>
      <c r="B46" s="33" t="s">
        <v>97</v>
      </c>
      <c r="C46" s="34"/>
      <c r="D46" s="35"/>
      <c r="E46" s="499"/>
      <c r="F46" s="490" t="s">
        <v>98</v>
      </c>
      <c r="G46" s="510">
        <v>16213</v>
      </c>
      <c r="H46" s="510">
        <v>14264862</v>
      </c>
      <c r="I46" s="510">
        <v>5665</v>
      </c>
      <c r="J46" s="510">
        <v>19620992.347465824</v>
      </c>
      <c r="K46" s="510">
        <v>2266219.2822619951</v>
      </c>
      <c r="L46" s="510">
        <v>702288.33874793909</v>
      </c>
      <c r="M46" s="510">
        <v>11949</v>
      </c>
      <c r="N46" s="510">
        <v>22232000</v>
      </c>
      <c r="O46" s="510">
        <v>1565.89028465</v>
      </c>
      <c r="P46" s="510">
        <v>2548.6604147880203</v>
      </c>
      <c r="Q46" s="510">
        <v>130493</v>
      </c>
      <c r="R46" s="510">
        <v>42926632.950436041</v>
      </c>
      <c r="S46" s="510">
        <v>10102</v>
      </c>
      <c r="T46" s="510">
        <v>4825.1393325230756</v>
      </c>
      <c r="U46" s="510">
        <v>1237893</v>
      </c>
      <c r="V46" s="510">
        <v>149488</v>
      </c>
      <c r="W46" s="510">
        <v>13225.823581000001</v>
      </c>
      <c r="X46" s="510">
        <v>7732201</v>
      </c>
      <c r="Y46" s="510">
        <v>2672888821.9200001</v>
      </c>
      <c r="Z46" s="510">
        <v>28513751</v>
      </c>
      <c r="AA46" s="510">
        <v>1059082</v>
      </c>
      <c r="AB46" s="510">
        <v>4851</v>
      </c>
      <c r="AC46" s="510">
        <v>5727</v>
      </c>
      <c r="AD46" s="510">
        <v>31216.974300000002</v>
      </c>
      <c r="AE46" s="510">
        <v>109618.39023532286</v>
      </c>
      <c r="AF46" s="510">
        <v>71083.532606405701</v>
      </c>
      <c r="AG46" s="510">
        <v>15028</v>
      </c>
      <c r="AH46" s="510">
        <v>408</v>
      </c>
      <c r="AI46" s="510">
        <v>71183</v>
      </c>
      <c r="AJ46" s="510">
        <v>1698237.2466645713</v>
      </c>
      <c r="AK46" s="510">
        <v>13104</v>
      </c>
      <c r="AL46" s="510">
        <v>63576.147673258376</v>
      </c>
      <c r="AM46" s="510">
        <v>2603539.8148333351</v>
      </c>
      <c r="AN46" s="510">
        <v>737631618.73800194</v>
      </c>
      <c r="AO46" s="510">
        <v>2052942482</v>
      </c>
      <c r="AP46" s="510">
        <v>963713</v>
      </c>
    </row>
    <row r="47" spans="1:42" ht="15" customHeight="1" x14ac:dyDescent="0.25">
      <c r="A47" s="8">
        <v>51</v>
      </c>
      <c r="B47" s="561" t="s">
        <v>99</v>
      </c>
      <c r="C47" s="562"/>
      <c r="D47" s="563"/>
      <c r="E47" s="503" t="s">
        <v>17</v>
      </c>
      <c r="F47" s="490" t="s">
        <v>100</v>
      </c>
      <c r="G47" s="510">
        <v>327291791.70422691</v>
      </c>
      <c r="H47" s="510">
        <v>220583186.4609572</v>
      </c>
      <c r="I47" s="510">
        <v>91594</v>
      </c>
      <c r="J47" s="510">
        <v>343275968.62075537</v>
      </c>
      <c r="K47" s="510">
        <v>36559898.771566667</v>
      </c>
      <c r="L47" s="510">
        <v>18550966.985513955</v>
      </c>
      <c r="M47" s="510">
        <v>102202.22977150943</v>
      </c>
      <c r="N47" s="510">
        <v>205555323.87185001</v>
      </c>
      <c r="O47" s="510">
        <v>21076.853616384982</v>
      </c>
      <c r="P47" s="510">
        <v>26156.921228235184</v>
      </c>
      <c r="Q47" s="510">
        <v>552980.04048378486</v>
      </c>
      <c r="R47" s="510">
        <v>205328777.04709405</v>
      </c>
      <c r="S47" s="510">
        <v>106016</v>
      </c>
      <c r="T47" s="510">
        <v>163301</v>
      </c>
      <c r="U47" s="510">
        <v>53684815.587175474</v>
      </c>
      <c r="V47" s="510">
        <v>22171211</v>
      </c>
      <c r="W47" s="510">
        <v>109774.20223207081</v>
      </c>
      <c r="X47" s="510">
        <v>91100216.502379671</v>
      </c>
      <c r="Y47" s="510">
        <v>35384270932.019997</v>
      </c>
      <c r="Z47" s="510">
        <v>143438998.51471001</v>
      </c>
      <c r="AA47" s="510">
        <v>52974052</v>
      </c>
      <c r="AB47" s="510">
        <v>120153</v>
      </c>
      <c r="AC47" s="510">
        <v>45189</v>
      </c>
      <c r="AD47" s="510">
        <v>191326.32769999999</v>
      </c>
      <c r="AE47" s="510">
        <v>216505.33061982566</v>
      </c>
      <c r="AF47" s="510">
        <v>546331.79486612976</v>
      </c>
      <c r="AG47" s="510">
        <v>38756.867337000003</v>
      </c>
      <c r="AH47" s="510">
        <v>2458</v>
      </c>
      <c r="AI47" s="510">
        <v>173412</v>
      </c>
      <c r="AJ47" s="510">
        <v>72793348.768341839</v>
      </c>
      <c r="AK47" s="510">
        <v>196056</v>
      </c>
      <c r="AL47" s="510">
        <v>303108.21325123595</v>
      </c>
      <c r="AM47" s="510">
        <v>140782094.14082679</v>
      </c>
      <c r="AN47" s="510">
        <v>46672664637.967995</v>
      </c>
      <c r="AO47" s="510">
        <v>132618012364.27</v>
      </c>
      <c r="AP47" s="510">
        <v>57653452.228</v>
      </c>
    </row>
    <row r="48" spans="1:42" ht="15" customHeight="1" x14ac:dyDescent="0.25">
      <c r="A48" s="8">
        <v>52</v>
      </c>
      <c r="B48" s="19" t="s">
        <v>102</v>
      </c>
      <c r="C48" s="29"/>
      <c r="D48" s="30"/>
      <c r="E48" s="499"/>
      <c r="F48" s="490" t="s">
        <v>103</v>
      </c>
      <c r="G48" s="510">
        <v>119568164</v>
      </c>
      <c r="H48" s="510">
        <v>100508384</v>
      </c>
      <c r="I48" s="510">
        <v>31473</v>
      </c>
      <c r="J48" s="510">
        <v>141567571.72139618</v>
      </c>
      <c r="K48" s="510">
        <v>14937448.049261216</v>
      </c>
      <c r="L48" s="510">
        <v>1282862.1063099999</v>
      </c>
      <c r="M48" s="510">
        <v>95122.971000000005</v>
      </c>
      <c r="N48" s="510">
        <v>105336592</v>
      </c>
      <c r="O48" s="510">
        <v>16918.34213451</v>
      </c>
      <c r="P48" s="510">
        <v>9230</v>
      </c>
      <c r="Q48" s="510">
        <v>98721.4</v>
      </c>
      <c r="R48" s="510">
        <v>183061373.45129913</v>
      </c>
      <c r="S48" s="510">
        <v>86978</v>
      </c>
      <c r="T48" s="510">
        <v>82073.454363849465</v>
      </c>
      <c r="U48" s="510">
        <v>14213098.487979406</v>
      </c>
      <c r="V48" s="510">
        <v>12800419</v>
      </c>
      <c r="W48" s="510">
        <v>31906.171171922593</v>
      </c>
      <c r="X48" s="510">
        <v>28758000</v>
      </c>
      <c r="Y48" s="510">
        <v>2463518000</v>
      </c>
      <c r="Z48" s="510">
        <v>26427441</v>
      </c>
      <c r="AA48" s="510">
        <v>13870814</v>
      </c>
      <c r="AB48" s="510">
        <v>23435</v>
      </c>
      <c r="AC48" s="510">
        <v>8047</v>
      </c>
      <c r="AD48" s="510">
        <v>44526</v>
      </c>
      <c r="AE48" s="510">
        <v>12100.398733</v>
      </c>
      <c r="AF48" s="510">
        <v>205328.98135553373</v>
      </c>
      <c r="AG48" s="510">
        <v>12108</v>
      </c>
      <c r="AH48" s="510">
        <v>1986</v>
      </c>
      <c r="AI48" s="510">
        <v>35016</v>
      </c>
      <c r="AJ48" s="510">
        <v>70013000</v>
      </c>
      <c r="AK48" s="510">
        <v>52266</v>
      </c>
      <c r="AL48" s="510">
        <v>41415</v>
      </c>
      <c r="AM48" s="510">
        <v>83099042.445555449</v>
      </c>
      <c r="AN48" s="510">
        <v>52572000000</v>
      </c>
      <c r="AO48" s="510">
        <v>63947001036</v>
      </c>
      <c r="AP48" s="510">
        <v>31088518</v>
      </c>
    </row>
    <row r="49" spans="1:42" ht="15" customHeight="1" x14ac:dyDescent="0.25">
      <c r="A49" s="8">
        <v>53</v>
      </c>
      <c r="B49" s="21" t="s">
        <v>104</v>
      </c>
      <c r="C49" s="22"/>
      <c r="D49" s="11"/>
      <c r="E49" s="499"/>
      <c r="F49" s="490" t="s">
        <v>105</v>
      </c>
      <c r="G49" s="510">
        <v>72910100</v>
      </c>
      <c r="H49" s="510">
        <v>152700076</v>
      </c>
      <c r="I49" s="510">
        <v>26746</v>
      </c>
      <c r="J49" s="510">
        <v>235831349.81759617</v>
      </c>
      <c r="K49" s="510">
        <v>20542340.166482028</v>
      </c>
      <c r="L49" s="510">
        <v>17257190.265859999</v>
      </c>
      <c r="M49" s="510">
        <v>6809.9259999999922</v>
      </c>
      <c r="N49" s="510">
        <v>37984954</v>
      </c>
      <c r="O49" s="510">
        <v>5143.1884748699995</v>
      </c>
      <c r="P49" s="510">
        <v>21280</v>
      </c>
      <c r="Q49" s="510">
        <v>6330.4</v>
      </c>
      <c r="R49" s="510">
        <v>185121842.05409789</v>
      </c>
      <c r="S49" s="510">
        <v>14607</v>
      </c>
      <c r="T49" s="510">
        <v>117691.24760167103</v>
      </c>
      <c r="U49" s="510">
        <v>13718205.964665657</v>
      </c>
      <c r="V49" s="510">
        <v>3495724</v>
      </c>
      <c r="W49" s="510">
        <v>86963.910444150199</v>
      </c>
      <c r="X49" s="510">
        <v>8463440.4688127693</v>
      </c>
      <c r="Y49" s="510">
        <v>2560151458</v>
      </c>
      <c r="Z49" s="510">
        <v>32358161.6770861</v>
      </c>
      <c r="AA49" s="510">
        <v>17253984.326000001</v>
      </c>
      <c r="AB49" s="510">
        <v>41037</v>
      </c>
      <c r="AC49" s="510">
        <v>26774</v>
      </c>
      <c r="AD49" s="510">
        <v>37808</v>
      </c>
      <c r="AE49" s="510">
        <v>34806.546163999999</v>
      </c>
      <c r="AF49" s="510">
        <v>206814</v>
      </c>
      <c r="AG49" s="510">
        <v>15931</v>
      </c>
      <c r="AH49" s="510">
        <v>3612</v>
      </c>
      <c r="AI49" s="510">
        <v>54569</v>
      </c>
      <c r="AJ49" s="510">
        <v>26210000</v>
      </c>
      <c r="AK49" s="510">
        <v>116185</v>
      </c>
      <c r="AL49" s="510">
        <v>63959</v>
      </c>
      <c r="AM49" s="510">
        <v>33866778.608817369</v>
      </c>
      <c r="AN49" s="510">
        <v>19680000000</v>
      </c>
      <c r="AO49" s="510">
        <v>33370166886</v>
      </c>
      <c r="AP49" s="510">
        <v>15105940</v>
      </c>
    </row>
    <row r="50" spans="1:42" ht="15" customHeight="1" x14ac:dyDescent="0.25">
      <c r="A50" s="8">
        <v>54</v>
      </c>
      <c r="B50" s="21" t="s">
        <v>106</v>
      </c>
      <c r="C50" s="22"/>
      <c r="D50" s="11"/>
      <c r="E50" s="499"/>
      <c r="F50" s="490" t="s">
        <v>107</v>
      </c>
      <c r="G50" s="510">
        <v>0</v>
      </c>
      <c r="H50" s="510">
        <v>0</v>
      </c>
      <c r="I50" s="510">
        <v>0</v>
      </c>
      <c r="J50" s="510">
        <v>0</v>
      </c>
      <c r="K50" s="510">
        <v>0</v>
      </c>
      <c r="L50" s="510">
        <v>1859929.0206600018</v>
      </c>
      <c r="M50" s="510">
        <v>0</v>
      </c>
      <c r="N50" s="510">
        <v>0</v>
      </c>
      <c r="O50" s="510">
        <v>0</v>
      </c>
      <c r="P50" s="510">
        <v>0</v>
      </c>
      <c r="Q50" s="510">
        <v>0</v>
      </c>
      <c r="R50" s="510">
        <v>15014816.680573927</v>
      </c>
      <c r="S50" s="510">
        <v>23595</v>
      </c>
      <c r="T50" s="510">
        <v>70453.016867016995</v>
      </c>
      <c r="U50" s="510">
        <v>16005616</v>
      </c>
      <c r="V50" s="510">
        <v>0</v>
      </c>
      <c r="W50" s="510">
        <v>27171.199430025899</v>
      </c>
      <c r="X50" s="510">
        <v>0</v>
      </c>
      <c r="Y50" s="510">
        <v>0</v>
      </c>
      <c r="Z50" s="510">
        <v>0</v>
      </c>
      <c r="AA50" s="510">
        <v>12153</v>
      </c>
      <c r="AB50" s="510">
        <v>0</v>
      </c>
      <c r="AC50" s="510">
        <v>0</v>
      </c>
      <c r="AD50" s="510">
        <v>0</v>
      </c>
      <c r="AE50" s="510">
        <v>0</v>
      </c>
      <c r="AF50" s="510">
        <v>797</v>
      </c>
      <c r="AG50" s="510">
        <v>0</v>
      </c>
      <c r="AH50" s="510">
        <v>0</v>
      </c>
      <c r="AI50" s="510">
        <v>4943</v>
      </c>
      <c r="AJ50" s="510">
        <v>12912.801063829787</v>
      </c>
      <c r="AK50" s="510">
        <v>0</v>
      </c>
      <c r="AL50" s="510">
        <v>0</v>
      </c>
      <c r="AM50" s="510">
        <v>215903</v>
      </c>
      <c r="AN50" s="510">
        <v>0</v>
      </c>
      <c r="AO50" s="510">
        <v>0</v>
      </c>
      <c r="AP50" s="510">
        <v>0</v>
      </c>
    </row>
    <row r="51" spans="1:42" ht="15" customHeight="1" x14ac:dyDescent="0.25">
      <c r="A51" s="8">
        <v>55</v>
      </c>
      <c r="B51" s="21" t="s">
        <v>108</v>
      </c>
      <c r="C51" s="22"/>
      <c r="D51" s="11"/>
      <c r="E51" s="499"/>
      <c r="F51" s="490" t="s">
        <v>109</v>
      </c>
      <c r="G51" s="510">
        <v>0</v>
      </c>
      <c r="H51" s="510">
        <v>1818484</v>
      </c>
      <c r="I51" s="510">
        <v>219</v>
      </c>
      <c r="J51" s="510">
        <v>10304740.659430001</v>
      </c>
      <c r="K51" s="510">
        <v>938063.98521252745</v>
      </c>
      <c r="L51" s="510">
        <v>267154.44804607821</v>
      </c>
      <c r="M51" s="510">
        <v>3012.8</v>
      </c>
      <c r="N51" s="510">
        <v>104529</v>
      </c>
      <c r="O51" s="510">
        <v>738.90912054157911</v>
      </c>
      <c r="P51" s="510">
        <v>0</v>
      </c>
      <c r="Q51" s="510">
        <v>671</v>
      </c>
      <c r="R51" s="510">
        <v>1932229.893822375</v>
      </c>
      <c r="S51" s="510">
        <v>13199</v>
      </c>
      <c r="T51" s="510">
        <v>5781.0770000000002</v>
      </c>
      <c r="U51" s="510">
        <v>592768</v>
      </c>
      <c r="V51" s="510">
        <v>469503</v>
      </c>
      <c r="W51" s="510">
        <v>16282.412889040899</v>
      </c>
      <c r="X51" s="510">
        <v>731331</v>
      </c>
      <c r="Y51" s="510">
        <v>24373684258.91</v>
      </c>
      <c r="Z51" s="510">
        <v>25528554</v>
      </c>
      <c r="AA51" s="510">
        <v>2068963</v>
      </c>
      <c r="AB51" s="510">
        <v>15098</v>
      </c>
      <c r="AC51" s="510">
        <v>0</v>
      </c>
      <c r="AD51" s="510">
        <v>13.680429</v>
      </c>
      <c r="AE51" s="510">
        <v>17765.206011604852</v>
      </c>
      <c r="AF51" s="510">
        <v>7278.5169649505378</v>
      </c>
      <c r="AG51" s="510">
        <v>152.19246799999999</v>
      </c>
      <c r="AH51" s="510">
        <v>19</v>
      </c>
      <c r="AI51" s="510">
        <v>1473</v>
      </c>
      <c r="AJ51" s="510">
        <v>6175876.2321144063</v>
      </c>
      <c r="AK51" s="510">
        <v>2756</v>
      </c>
      <c r="AL51" s="510">
        <v>75871.270037248236</v>
      </c>
      <c r="AM51" s="510">
        <v>652079</v>
      </c>
      <c r="AN51" s="510">
        <v>68500</v>
      </c>
      <c r="AO51" s="510">
        <v>24480630390</v>
      </c>
      <c r="AP51" s="510">
        <v>1856196</v>
      </c>
    </row>
    <row r="52" spans="1:42" ht="15" customHeight="1" x14ac:dyDescent="0.25">
      <c r="A52" s="8">
        <v>56</v>
      </c>
      <c r="B52" s="24" t="s">
        <v>111</v>
      </c>
      <c r="C52" s="25"/>
      <c r="D52" s="11"/>
      <c r="E52" s="499"/>
      <c r="F52" s="490" t="s">
        <v>112</v>
      </c>
      <c r="G52" s="510">
        <v>3218</v>
      </c>
      <c r="H52" s="510">
        <v>7213283</v>
      </c>
      <c r="I52" s="510">
        <v>1674</v>
      </c>
      <c r="J52" s="510">
        <v>20891927.896090597</v>
      </c>
      <c r="K52" s="510">
        <v>6065326.9908938315</v>
      </c>
      <c r="L52" s="510">
        <v>169922.06332999983</v>
      </c>
      <c r="M52" s="510">
        <v>2067</v>
      </c>
      <c r="N52" s="510">
        <v>2891000</v>
      </c>
      <c r="O52" s="510">
        <v>526.40177067000002</v>
      </c>
      <c r="P52" s="510">
        <v>1830.7427936231202</v>
      </c>
      <c r="Q52" s="510">
        <v>2990</v>
      </c>
      <c r="R52" s="510">
        <v>7855163.447483601</v>
      </c>
      <c r="S52" s="510">
        <v>12573</v>
      </c>
      <c r="T52" s="510">
        <v>6277.6151712971996</v>
      </c>
      <c r="U52" s="510">
        <v>135603</v>
      </c>
      <c r="V52" s="510">
        <v>95428</v>
      </c>
      <c r="W52" s="510">
        <v>4818.3246939999999</v>
      </c>
      <c r="X52" s="510">
        <v>14976348</v>
      </c>
      <c r="Y52" s="510">
        <v>4166688333.8400002</v>
      </c>
      <c r="Z52" s="510">
        <v>22004996</v>
      </c>
      <c r="AA52" s="510">
        <v>8755847</v>
      </c>
      <c r="AB52" s="510">
        <v>17234</v>
      </c>
      <c r="AC52" s="510">
        <v>1478</v>
      </c>
      <c r="AD52" s="510">
        <v>12817.513131608646</v>
      </c>
      <c r="AE52" s="510">
        <v>14712.217704978457</v>
      </c>
      <c r="AF52" s="510">
        <v>3536.8436965303458</v>
      </c>
      <c r="AG52" s="510">
        <v>759</v>
      </c>
      <c r="AH52" s="510">
        <v>49</v>
      </c>
      <c r="AI52" s="510">
        <v>14482</v>
      </c>
      <c r="AJ52" s="510">
        <v>3517538.9586639139</v>
      </c>
      <c r="AK52" s="510">
        <v>9661</v>
      </c>
      <c r="AL52" s="510">
        <v>12151.59317276925</v>
      </c>
      <c r="AM52" s="510">
        <v>3657917.939039296</v>
      </c>
      <c r="AN52" s="510">
        <v>9642051593.6599979</v>
      </c>
      <c r="AO52" s="510">
        <v>1035297323</v>
      </c>
      <c r="AP52" s="510">
        <v>2391048</v>
      </c>
    </row>
    <row r="53" spans="1:42" ht="15" customHeight="1" x14ac:dyDescent="0.25">
      <c r="A53" s="8">
        <v>57</v>
      </c>
      <c r="B53" s="24" t="s">
        <v>97</v>
      </c>
      <c r="C53" s="25"/>
      <c r="D53" s="11"/>
      <c r="E53" s="499"/>
      <c r="F53" s="490" t="s">
        <v>113</v>
      </c>
      <c r="G53" s="510">
        <v>20460</v>
      </c>
      <c r="H53" s="510">
        <v>6174663</v>
      </c>
      <c r="I53" s="510">
        <v>6652</v>
      </c>
      <c r="J53" s="510">
        <v>14291849.877355862</v>
      </c>
      <c r="K53" s="510">
        <v>4682343.1243451666</v>
      </c>
      <c r="L53" s="510">
        <v>172723.49038888002</v>
      </c>
      <c r="M53" s="510">
        <v>21846</v>
      </c>
      <c r="N53" s="510">
        <v>16297000</v>
      </c>
      <c r="O53" s="510">
        <v>530.08893310999997</v>
      </c>
      <c r="P53" s="510">
        <v>2227.4733089382999</v>
      </c>
      <c r="Q53" s="510">
        <v>14515</v>
      </c>
      <c r="R53" s="510">
        <v>42026057.033728004</v>
      </c>
      <c r="S53" s="510">
        <v>10332</v>
      </c>
      <c r="T53" s="510">
        <v>4185.0767808648006</v>
      </c>
      <c r="U53" s="510">
        <v>1064056</v>
      </c>
      <c r="V53" s="510">
        <v>165000</v>
      </c>
      <c r="W53" s="510">
        <v>32128.268306999998</v>
      </c>
      <c r="X53" s="510">
        <v>0</v>
      </c>
      <c r="Y53" s="510">
        <v>4384133341.3800001</v>
      </c>
      <c r="Z53" s="510">
        <v>0</v>
      </c>
      <c r="AA53" s="510">
        <v>2596652</v>
      </c>
      <c r="AB53" s="510">
        <v>15940</v>
      </c>
      <c r="AC53" s="510">
        <v>7999</v>
      </c>
      <c r="AD53" s="510">
        <v>25219.204806520276</v>
      </c>
      <c r="AE53" s="510">
        <v>55869.087071726499</v>
      </c>
      <c r="AF53" s="510">
        <v>60786.206025999221</v>
      </c>
      <c r="AG53" s="510">
        <v>6616</v>
      </c>
      <c r="AH53" s="510">
        <v>710</v>
      </c>
      <c r="AI53" s="510">
        <v>55442</v>
      </c>
      <c r="AJ53" s="510">
        <v>2310866.0362698082</v>
      </c>
      <c r="AK53" s="510">
        <v>17571</v>
      </c>
      <c r="AL53" s="510">
        <v>56265.038171668581</v>
      </c>
      <c r="AM53" s="510">
        <v>2062707.0175434838</v>
      </c>
      <c r="AN53" s="510">
        <v>631205660.56000137</v>
      </c>
      <c r="AO53" s="510">
        <v>3058055857</v>
      </c>
      <c r="AP53" s="510">
        <v>114026</v>
      </c>
    </row>
    <row r="54" spans="1:42" ht="15" customHeight="1" x14ac:dyDescent="0.25">
      <c r="A54" s="8">
        <v>60</v>
      </c>
      <c r="B54" s="518" t="s">
        <v>114</v>
      </c>
      <c r="C54" s="519"/>
      <c r="D54" s="519"/>
      <c r="E54" s="503" t="s">
        <v>17</v>
      </c>
      <c r="F54" s="490" t="s">
        <v>115</v>
      </c>
      <c r="G54" s="510">
        <v>192501942</v>
      </c>
      <c r="H54" s="510">
        <v>268414890</v>
      </c>
      <c r="I54" s="510">
        <v>66764</v>
      </c>
      <c r="J54" s="510">
        <v>422887439.97186881</v>
      </c>
      <c r="K54" s="510">
        <v>47165522.316194773</v>
      </c>
      <c r="L54" s="510">
        <v>21009781.394594956</v>
      </c>
      <c r="M54" s="510">
        <v>128858.697</v>
      </c>
      <c r="N54" s="510">
        <v>162614075</v>
      </c>
      <c r="O54" s="510">
        <v>23856.930433701578</v>
      </c>
      <c r="P54" s="510">
        <v>34568.216102561419</v>
      </c>
      <c r="Q54" s="510">
        <v>123227.79999999999</v>
      </c>
      <c r="R54" s="510">
        <v>435011482.56100494</v>
      </c>
      <c r="S54" s="510">
        <v>161284</v>
      </c>
      <c r="T54" s="510">
        <v>286461.48778469954</v>
      </c>
      <c r="U54" s="510">
        <v>45729347.452645063</v>
      </c>
      <c r="V54" s="510">
        <v>17026074</v>
      </c>
      <c r="W54" s="510">
        <v>199270.2869361396</v>
      </c>
      <c r="X54" s="510">
        <v>52929119.468812771</v>
      </c>
      <c r="Y54" s="510">
        <v>37948175392.129997</v>
      </c>
      <c r="Z54" s="510">
        <v>106319152.6770861</v>
      </c>
      <c r="AA54" s="510">
        <v>44558413.326000005</v>
      </c>
      <c r="AB54" s="510">
        <v>112744</v>
      </c>
      <c r="AC54" s="510">
        <v>44298</v>
      </c>
      <c r="AD54" s="510">
        <v>120384.39836712892</v>
      </c>
      <c r="AE54" s="510">
        <v>135253.45568530977</v>
      </c>
      <c r="AF54" s="510">
        <v>484541.54804301378</v>
      </c>
      <c r="AG54" s="510">
        <v>35566.192468000001</v>
      </c>
      <c r="AH54" s="510">
        <v>6376</v>
      </c>
      <c r="AI54" s="510">
        <v>165925</v>
      </c>
      <c r="AJ54" s="510">
        <v>108240194.02811196</v>
      </c>
      <c r="AK54" s="510">
        <v>198439</v>
      </c>
      <c r="AL54" s="510">
        <v>249661.90138168604</v>
      </c>
      <c r="AM54" s="510">
        <v>123554428.01095559</v>
      </c>
      <c r="AN54" s="510">
        <v>82525325754.220001</v>
      </c>
      <c r="AO54" s="510">
        <v>125891151492</v>
      </c>
      <c r="AP54" s="510">
        <v>50555728</v>
      </c>
    </row>
    <row r="55" spans="1:42" ht="15" customHeight="1" x14ac:dyDescent="0.25">
      <c r="A55" s="8">
        <v>61</v>
      </c>
      <c r="B55" s="19" t="s">
        <v>117</v>
      </c>
      <c r="C55" s="29"/>
      <c r="D55" s="30"/>
      <c r="E55" s="499"/>
      <c r="F55" s="490" t="s">
        <v>118</v>
      </c>
      <c r="G55" s="510">
        <v>404300000</v>
      </c>
      <c r="H55" s="510">
        <v>559459000</v>
      </c>
      <c r="I55" s="510">
        <v>94060</v>
      </c>
      <c r="J55" s="510">
        <v>309524759.60206878</v>
      </c>
      <c r="K55" s="510">
        <v>34848536.11985857</v>
      </c>
      <c r="L55" s="510">
        <v>41810368.620953001</v>
      </c>
      <c r="M55" s="510">
        <v>98848.39895273064</v>
      </c>
      <c r="N55" s="510">
        <v>512362208</v>
      </c>
      <c r="O55" s="510">
        <v>9519</v>
      </c>
      <c r="P55" s="510">
        <v>4595</v>
      </c>
      <c r="Q55" s="510">
        <v>825991.98405732005</v>
      </c>
      <c r="R55" s="510">
        <v>31891365.080442034</v>
      </c>
      <c r="S55" s="510">
        <v>96466</v>
      </c>
      <c r="T55" s="510">
        <v>27416.098999999998</v>
      </c>
      <c r="U55" s="510">
        <v>39357396</v>
      </c>
      <c r="V55" s="510">
        <v>0</v>
      </c>
      <c r="W55" s="510">
        <v>28341.849202979509</v>
      </c>
      <c r="X55" s="510">
        <v>12305131.295539999</v>
      </c>
      <c r="Y55" s="510">
        <v>3886520251.23</v>
      </c>
      <c r="Z55" s="510">
        <v>45700000</v>
      </c>
      <c r="AA55" s="510">
        <v>27336000</v>
      </c>
      <c r="AB55" s="510">
        <v>30804</v>
      </c>
      <c r="AC55" s="510">
        <v>0</v>
      </c>
      <c r="AD55" s="510">
        <v>0</v>
      </c>
      <c r="AE55" s="510">
        <v>25069</v>
      </c>
      <c r="AF55" s="510">
        <v>15450.904704080769</v>
      </c>
      <c r="AG55" s="510">
        <v>52480</v>
      </c>
      <c r="AH55" s="510">
        <v>16675</v>
      </c>
      <c r="AI55" s="510">
        <v>16795</v>
      </c>
      <c r="AJ55" s="510">
        <v>29546815.646750744</v>
      </c>
      <c r="AK55" s="510">
        <v>35944</v>
      </c>
      <c r="AL55" s="510">
        <v>11037</v>
      </c>
      <c r="AM55" s="510">
        <v>18862076</v>
      </c>
      <c r="AN55" s="510">
        <v>16062000000</v>
      </c>
      <c r="AO55" s="510">
        <v>14946206093.52</v>
      </c>
      <c r="AP55" s="510">
        <v>42269712</v>
      </c>
    </row>
    <row r="56" spans="1:42" ht="15" customHeight="1" x14ac:dyDescent="0.25">
      <c r="A56" s="8">
        <v>62</v>
      </c>
      <c r="B56" s="21" t="s">
        <v>119</v>
      </c>
      <c r="C56" s="22"/>
      <c r="D56" s="11"/>
      <c r="E56" s="499"/>
      <c r="F56" s="490" t="s">
        <v>120</v>
      </c>
      <c r="G56" s="510">
        <v>104318481.00556</v>
      </c>
      <c r="H56" s="510">
        <v>287553673</v>
      </c>
      <c r="I56" s="510">
        <v>41687</v>
      </c>
      <c r="J56" s="510">
        <v>138569887.5020943</v>
      </c>
      <c r="K56" s="510">
        <v>21434272.657970421</v>
      </c>
      <c r="L56" s="510">
        <v>9554320</v>
      </c>
      <c r="M56" s="510">
        <v>74615.823047269369</v>
      </c>
      <c r="N56" s="510">
        <v>101565963</v>
      </c>
      <c r="O56" s="510">
        <v>17389</v>
      </c>
      <c r="P56" s="510">
        <v>13435</v>
      </c>
      <c r="Q56" s="510">
        <v>109305.71791430999</v>
      </c>
      <c r="R56" s="510">
        <v>108768161.57520443</v>
      </c>
      <c r="S56" s="510">
        <v>79805</v>
      </c>
      <c r="T56" s="510">
        <v>66646.454355375798</v>
      </c>
      <c r="U56" s="510">
        <v>47776774.368606761</v>
      </c>
      <c r="V56" s="510">
        <v>0</v>
      </c>
      <c r="W56" s="510">
        <v>87507.567191830138</v>
      </c>
      <c r="X56" s="510">
        <v>113100161.10570399</v>
      </c>
      <c r="Y56" s="510">
        <v>31200077748.999996</v>
      </c>
      <c r="Z56" s="510">
        <v>94804213</v>
      </c>
      <c r="AA56" s="510">
        <v>33089000</v>
      </c>
      <c r="AB56" s="510">
        <v>53597</v>
      </c>
      <c r="AC56" s="510">
        <v>141049</v>
      </c>
      <c r="AD56" s="510">
        <v>25179</v>
      </c>
      <c r="AE56" s="510">
        <v>73637</v>
      </c>
      <c r="AF56" s="510">
        <v>122247.26973332217</v>
      </c>
      <c r="AG56" s="510">
        <v>23921</v>
      </c>
      <c r="AH56" s="510">
        <v>4420</v>
      </c>
      <c r="AI56" s="510">
        <v>47164</v>
      </c>
      <c r="AJ56" s="510">
        <v>43674650.353249259</v>
      </c>
      <c r="AK56" s="510">
        <v>29953</v>
      </c>
      <c r="AL56" s="510">
        <v>94917</v>
      </c>
      <c r="AM56" s="510">
        <v>32090663</v>
      </c>
      <c r="AN56" s="510">
        <v>30902000000</v>
      </c>
      <c r="AO56" s="510">
        <v>40891928262.559998</v>
      </c>
      <c r="AP56" s="510">
        <v>30667080</v>
      </c>
    </row>
    <row r="57" spans="1:42" ht="15" customHeight="1" x14ac:dyDescent="0.25">
      <c r="A57" s="8">
        <v>63</v>
      </c>
      <c r="B57" s="21" t="s">
        <v>121</v>
      </c>
      <c r="C57" s="22"/>
      <c r="D57" s="11"/>
      <c r="E57" s="499"/>
      <c r="F57" s="490" t="s">
        <v>122</v>
      </c>
      <c r="G57" s="510">
        <v>25347524.600000001</v>
      </c>
      <c r="H57" s="510">
        <v>15964986</v>
      </c>
      <c r="I57" s="510">
        <v>6545</v>
      </c>
      <c r="J57" s="510">
        <v>22809430.243569542</v>
      </c>
      <c r="K57" s="510">
        <v>7368531.6568576489</v>
      </c>
      <c r="L57" s="510">
        <v>11751516.66561</v>
      </c>
      <c r="M57" s="510">
        <v>13807.105</v>
      </c>
      <c r="N57" s="510">
        <v>13697582</v>
      </c>
      <c r="O57" s="510">
        <v>5333</v>
      </c>
      <c r="P57" s="510">
        <v>5265</v>
      </c>
      <c r="Q57" s="510">
        <v>66219.087752129999</v>
      </c>
      <c r="R57" s="510">
        <v>13753677.764</v>
      </c>
      <c r="S57" s="510">
        <v>15195</v>
      </c>
      <c r="T57" s="510">
        <v>27756.863715301701</v>
      </c>
      <c r="U57" s="510">
        <v>6817384.6011610413</v>
      </c>
      <c r="V57" s="510">
        <v>700000</v>
      </c>
      <c r="W57" s="510">
        <v>15191.049539244899</v>
      </c>
      <c r="X57" s="510">
        <v>13090747.854446299</v>
      </c>
      <c r="Y57" s="510">
        <v>4940020000</v>
      </c>
      <c r="Z57" s="510">
        <v>20054100</v>
      </c>
      <c r="AA57" s="510">
        <v>7917000</v>
      </c>
      <c r="AB57" s="510">
        <v>9702</v>
      </c>
      <c r="AC57" s="510">
        <v>7814</v>
      </c>
      <c r="AD57" s="510">
        <v>20397</v>
      </c>
      <c r="AE57" s="510">
        <v>21695</v>
      </c>
      <c r="AF57" s="510">
        <v>42823.460080632896</v>
      </c>
      <c r="AG57" s="510">
        <v>32312</v>
      </c>
      <c r="AH57" s="510">
        <v>2356</v>
      </c>
      <c r="AI57" s="510">
        <v>24012</v>
      </c>
      <c r="AJ57" s="510">
        <v>4001414.1761378939</v>
      </c>
      <c r="AK57" s="510">
        <v>13714</v>
      </c>
      <c r="AL57" s="510">
        <v>22342</v>
      </c>
      <c r="AM57" s="510">
        <v>2993024</v>
      </c>
      <c r="AN57" s="510">
        <v>2752688961.0500002</v>
      </c>
      <c r="AO57" s="510">
        <v>947795034</v>
      </c>
      <c r="AP57" s="510">
        <v>2597830</v>
      </c>
    </row>
    <row r="58" spans="1:42" ht="15" customHeight="1" x14ac:dyDescent="0.25">
      <c r="A58" s="8">
        <v>64</v>
      </c>
      <c r="B58" s="21" t="s">
        <v>123</v>
      </c>
      <c r="C58" s="22"/>
      <c r="D58" s="11"/>
      <c r="E58" s="499"/>
      <c r="F58" s="490" t="s">
        <v>124</v>
      </c>
      <c r="G58" s="510">
        <v>183619074.02744901</v>
      </c>
      <c r="H58" s="510">
        <v>67872343</v>
      </c>
      <c r="I58" s="510">
        <v>35975</v>
      </c>
      <c r="J58" s="510">
        <v>153477360.69006133</v>
      </c>
      <c r="K58" s="510">
        <v>3244050.1670201626</v>
      </c>
      <c r="L58" s="510">
        <v>468595.65912999999</v>
      </c>
      <c r="M58" s="510">
        <v>13995.040999999999</v>
      </c>
      <c r="N58" s="510">
        <v>65134899</v>
      </c>
      <c r="O58" s="510">
        <v>464</v>
      </c>
      <c r="P58" s="510">
        <v>2428</v>
      </c>
      <c r="Q58" s="510">
        <v>13426.465086239999</v>
      </c>
      <c r="R58" s="510">
        <v>18401513.552488927</v>
      </c>
      <c r="S58" s="510">
        <v>13346</v>
      </c>
      <c r="T58" s="510">
        <v>26919.44594602194</v>
      </c>
      <c r="U58" s="510">
        <v>5577028.7614386193</v>
      </c>
      <c r="V58" s="510">
        <v>0</v>
      </c>
      <c r="W58" s="510">
        <v>19697</v>
      </c>
      <c r="X58" s="510">
        <v>1509097.7383801001</v>
      </c>
      <c r="Y58" s="510">
        <v>0</v>
      </c>
      <c r="Z58" s="510">
        <v>108000</v>
      </c>
      <c r="AA58" s="510">
        <v>5684000</v>
      </c>
      <c r="AB58" s="510">
        <v>11562</v>
      </c>
      <c r="AC58" s="510">
        <v>6722</v>
      </c>
      <c r="AD58" s="510">
        <v>24993</v>
      </c>
      <c r="AE58" s="510">
        <v>6422</v>
      </c>
      <c r="AF58" s="510">
        <v>10538.321511233209</v>
      </c>
      <c r="AG58" s="510">
        <v>1835</v>
      </c>
      <c r="AH58" s="510">
        <v>3540</v>
      </c>
      <c r="AI58" s="510">
        <v>1583</v>
      </c>
      <c r="AJ58" s="510">
        <v>830088.37810395891</v>
      </c>
      <c r="AK58" s="510">
        <v>0</v>
      </c>
      <c r="AL58" s="510">
        <v>10400</v>
      </c>
      <c r="AM58" s="510">
        <v>1209154</v>
      </c>
      <c r="AN58" s="510">
        <v>1393000000</v>
      </c>
      <c r="AO58" s="510">
        <v>187378452</v>
      </c>
      <c r="AP58" s="510">
        <v>265367</v>
      </c>
    </row>
    <row r="59" spans="1:42" ht="15" customHeight="1" x14ac:dyDescent="0.25">
      <c r="A59" s="8">
        <v>65</v>
      </c>
      <c r="B59" s="21" t="s">
        <v>125</v>
      </c>
      <c r="C59" s="22"/>
      <c r="D59" s="11"/>
      <c r="E59" s="499"/>
      <c r="F59" s="490" t="s">
        <v>126</v>
      </c>
      <c r="G59" s="510">
        <v>0</v>
      </c>
      <c r="H59" s="510">
        <v>235755925</v>
      </c>
      <c r="I59" s="510">
        <v>16409</v>
      </c>
      <c r="J59" s="510">
        <v>112273703.39688163</v>
      </c>
      <c r="K59" s="510">
        <v>24940918.137751266</v>
      </c>
      <c r="L59" s="510">
        <v>0</v>
      </c>
      <c r="M59" s="510">
        <v>448.19190000000003</v>
      </c>
      <c r="N59" s="510">
        <v>34945155</v>
      </c>
      <c r="O59" s="510">
        <v>347</v>
      </c>
      <c r="P59" s="510">
        <v>3234</v>
      </c>
      <c r="Q59" s="510">
        <v>11823.8648137</v>
      </c>
      <c r="R59" s="510">
        <v>70508479.070864588</v>
      </c>
      <c r="S59" s="510">
        <v>53385</v>
      </c>
      <c r="T59" s="510">
        <v>88859.224924772701</v>
      </c>
      <c r="U59" s="510">
        <v>37047128.410122499</v>
      </c>
      <c r="V59" s="510">
        <v>3495724</v>
      </c>
      <c r="W59" s="510">
        <v>35219</v>
      </c>
      <c r="X59" s="510">
        <v>4452754.2773915101</v>
      </c>
      <c r="Y59" s="510">
        <v>257701079</v>
      </c>
      <c r="Z59" s="510">
        <v>3176000</v>
      </c>
      <c r="AA59" s="510">
        <v>9926000</v>
      </c>
      <c r="AB59" s="510">
        <v>25494</v>
      </c>
      <c r="AC59" s="510">
        <v>42795</v>
      </c>
      <c r="AD59" s="510">
        <v>21240</v>
      </c>
      <c r="AE59" s="510">
        <v>24077</v>
      </c>
      <c r="AF59" s="510">
        <v>31204.800387359119</v>
      </c>
      <c r="AG59" s="510">
        <v>8866</v>
      </c>
      <c r="AH59" s="510">
        <v>3632</v>
      </c>
      <c r="AI59" s="510">
        <v>2277</v>
      </c>
      <c r="AJ59" s="510">
        <v>289704.37409103097</v>
      </c>
      <c r="AK59" s="510">
        <v>3341</v>
      </c>
      <c r="AL59" s="510">
        <v>24500</v>
      </c>
      <c r="AM59" s="510">
        <v>6362019</v>
      </c>
      <c r="AN59" s="510">
        <v>2599000000</v>
      </c>
      <c r="AO59" s="510">
        <v>241401337</v>
      </c>
      <c r="AP59" s="510">
        <v>194712</v>
      </c>
    </row>
    <row r="60" spans="1:42" ht="15" customHeight="1" x14ac:dyDescent="0.25">
      <c r="A60" s="8">
        <v>66</v>
      </c>
      <c r="B60" s="21" t="s">
        <v>127</v>
      </c>
      <c r="C60" s="22"/>
      <c r="D60" s="11"/>
      <c r="E60" s="499"/>
      <c r="F60" s="490" t="s">
        <v>128</v>
      </c>
      <c r="G60" s="510">
        <v>176724691.5</v>
      </c>
      <c r="H60" s="510">
        <v>200693690</v>
      </c>
      <c r="I60" s="510">
        <v>39433</v>
      </c>
      <c r="J60" s="510">
        <v>185947000</v>
      </c>
      <c r="K60" s="510">
        <v>51772720.364912003</v>
      </c>
      <c r="L60" s="510">
        <v>18774405</v>
      </c>
      <c r="M60" s="510">
        <v>73735</v>
      </c>
      <c r="N60" s="510">
        <v>24904126</v>
      </c>
      <c r="O60" s="510">
        <v>10513.898738219999</v>
      </c>
      <c r="P60" s="510">
        <v>0</v>
      </c>
      <c r="Q60" s="510">
        <v>124451.92182320001</v>
      </c>
      <c r="R60" s="510">
        <v>70498817</v>
      </c>
      <c r="S60" s="510">
        <v>3709</v>
      </c>
      <c r="T60" s="510">
        <v>12536.546633966052</v>
      </c>
      <c r="U60" s="510">
        <v>0</v>
      </c>
      <c r="V60" s="510">
        <v>5175618</v>
      </c>
      <c r="W60" s="510">
        <v>33722</v>
      </c>
      <c r="X60" s="510">
        <v>27761510.940064199</v>
      </c>
      <c r="Y60" s="510">
        <v>2092867979.04</v>
      </c>
      <c r="Z60" s="510">
        <v>31158970</v>
      </c>
      <c r="AA60" s="510">
        <v>940000</v>
      </c>
      <c r="AB60" s="510">
        <v>0</v>
      </c>
      <c r="AC60" s="510">
        <v>0</v>
      </c>
      <c r="AD60" s="510">
        <v>33007.199999999997</v>
      </c>
      <c r="AE60" s="510">
        <v>43819.303500000002</v>
      </c>
      <c r="AF60" s="510">
        <v>206066.90647270373</v>
      </c>
      <c r="AG60" s="510">
        <v>56295</v>
      </c>
      <c r="AH60" s="510">
        <v>634</v>
      </c>
      <c r="AI60" s="510">
        <v>20972</v>
      </c>
      <c r="AJ60" s="510">
        <v>0</v>
      </c>
      <c r="AK60" s="510">
        <v>13332</v>
      </c>
      <c r="AL60" s="510">
        <v>35356.247515199997</v>
      </c>
      <c r="AM60" s="510">
        <v>0</v>
      </c>
      <c r="AN60" s="510">
        <v>0</v>
      </c>
      <c r="AO60" s="510">
        <v>0</v>
      </c>
      <c r="AP60" s="510">
        <v>0</v>
      </c>
    </row>
    <row r="61" spans="1:42" ht="15" customHeight="1" x14ac:dyDescent="0.25">
      <c r="A61" s="8">
        <v>67</v>
      </c>
      <c r="B61" s="21" t="s">
        <v>129</v>
      </c>
      <c r="C61" s="22"/>
      <c r="D61" s="11"/>
      <c r="E61" s="499"/>
      <c r="F61" s="490" t="s">
        <v>130</v>
      </c>
      <c r="G61" s="510">
        <v>0</v>
      </c>
      <c r="H61" s="510">
        <v>0</v>
      </c>
      <c r="I61" s="510">
        <v>0</v>
      </c>
      <c r="J61" s="510">
        <v>0</v>
      </c>
      <c r="K61" s="510">
        <v>2996223.5</v>
      </c>
      <c r="L61" s="510">
        <v>0</v>
      </c>
      <c r="M61" s="510">
        <v>400.88799999999998</v>
      </c>
      <c r="N61" s="510">
        <v>0</v>
      </c>
      <c r="O61" s="510">
        <v>173.38603613000001</v>
      </c>
      <c r="P61" s="510">
        <v>0</v>
      </c>
      <c r="Q61" s="510">
        <v>0</v>
      </c>
      <c r="R61" s="510">
        <v>40000</v>
      </c>
      <c r="S61" s="510">
        <v>0</v>
      </c>
      <c r="T61" s="510">
        <v>0</v>
      </c>
      <c r="U61" s="510">
        <v>0</v>
      </c>
      <c r="V61" s="510">
        <v>800000</v>
      </c>
      <c r="W61" s="510">
        <v>416</v>
      </c>
      <c r="X61" s="510">
        <v>1672566.940434</v>
      </c>
      <c r="Y61" s="510">
        <v>4739685000</v>
      </c>
      <c r="Z61" s="510">
        <v>0</v>
      </c>
      <c r="AA61" s="510">
        <v>0</v>
      </c>
      <c r="AB61" s="510">
        <v>5123</v>
      </c>
      <c r="AC61" s="510">
        <v>8534</v>
      </c>
      <c r="AD61" s="510">
        <v>0</v>
      </c>
      <c r="AE61" s="510">
        <v>8583</v>
      </c>
      <c r="AF61" s="510">
        <v>3684.7416313796998</v>
      </c>
      <c r="AG61" s="510">
        <v>0</v>
      </c>
      <c r="AH61" s="510">
        <v>0</v>
      </c>
      <c r="AI61" s="510">
        <v>4567</v>
      </c>
      <c r="AJ61" s="510">
        <v>0</v>
      </c>
      <c r="AK61" s="510">
        <v>0</v>
      </c>
      <c r="AL61" s="510">
        <v>0</v>
      </c>
      <c r="AM61" s="510">
        <v>244830</v>
      </c>
      <c r="AN61" s="510">
        <v>1053000000</v>
      </c>
      <c r="AO61" s="510">
        <v>0</v>
      </c>
      <c r="AP61" s="510">
        <v>0</v>
      </c>
    </row>
    <row r="62" spans="1:42" ht="15" customHeight="1" x14ac:dyDescent="0.25">
      <c r="A62" s="8">
        <v>69</v>
      </c>
      <c r="B62" s="518" t="s">
        <v>131</v>
      </c>
      <c r="C62" s="519"/>
      <c r="D62" s="519"/>
      <c r="E62" s="503" t="s">
        <v>17</v>
      </c>
      <c r="F62" s="490" t="s">
        <v>132</v>
      </c>
      <c r="G62" s="510">
        <v>894309771.13300896</v>
      </c>
      <c r="H62" s="510">
        <v>1367299617</v>
      </c>
      <c r="I62" s="510">
        <v>234109</v>
      </c>
      <c r="J62" s="510">
        <v>922602141.43467546</v>
      </c>
      <c r="K62" s="510">
        <v>146605252.60437006</v>
      </c>
      <c r="L62" s="510">
        <v>82359205.945693001</v>
      </c>
      <c r="M62" s="510">
        <v>275850.44789999997</v>
      </c>
      <c r="N62" s="510">
        <v>752609933</v>
      </c>
      <c r="O62" s="510">
        <v>43739.284774350002</v>
      </c>
      <c r="P62" s="510">
        <v>28957</v>
      </c>
      <c r="Q62" s="510">
        <v>1151219.0414469</v>
      </c>
      <c r="R62" s="510">
        <v>313862014.04299998</v>
      </c>
      <c r="S62" s="510">
        <v>261906</v>
      </c>
      <c r="T62" s="510">
        <v>250135</v>
      </c>
      <c r="U62" s="510">
        <v>136575712.14132893</v>
      </c>
      <c r="V62" s="510">
        <v>10171342</v>
      </c>
      <c r="W62" s="510">
        <v>220094.46593405452</v>
      </c>
      <c r="X62" s="510">
        <v>173891970.15196013</v>
      </c>
      <c r="Y62" s="510">
        <v>47116872058.269997</v>
      </c>
      <c r="Z62" s="510">
        <v>195001283</v>
      </c>
      <c r="AA62" s="510">
        <v>84892000</v>
      </c>
      <c r="AB62" s="510">
        <v>136282</v>
      </c>
      <c r="AC62" s="510">
        <v>206914</v>
      </c>
      <c r="AD62" s="510">
        <v>124816.2</v>
      </c>
      <c r="AE62" s="510">
        <v>203302.30350000001</v>
      </c>
      <c r="AF62" s="510">
        <v>432016.40452071163</v>
      </c>
      <c r="AG62" s="510">
        <v>175709</v>
      </c>
      <c r="AH62" s="510">
        <v>31257</v>
      </c>
      <c r="AI62" s="510">
        <v>117370</v>
      </c>
      <c r="AJ62" s="510">
        <v>78342672.92833288</v>
      </c>
      <c r="AK62" s="510">
        <v>96284</v>
      </c>
      <c r="AL62" s="510">
        <v>198552.2475152</v>
      </c>
      <c r="AM62" s="510">
        <v>61761766</v>
      </c>
      <c r="AN62" s="510">
        <v>54761688961.050003</v>
      </c>
      <c r="AO62" s="510">
        <v>57214709179.080002</v>
      </c>
      <c r="AP62" s="510">
        <v>75994701</v>
      </c>
    </row>
    <row r="63" spans="1:42" ht="15" customHeight="1" x14ac:dyDescent="0.25">
      <c r="A63" s="8">
        <v>70</v>
      </c>
      <c r="B63" s="250" t="s">
        <v>137</v>
      </c>
      <c r="C63" s="251" t="s">
        <v>138</v>
      </c>
      <c r="D63" s="204" t="s">
        <v>401</v>
      </c>
      <c r="E63" s="504"/>
      <c r="F63" s="505" t="s">
        <v>140</v>
      </c>
      <c r="G63" s="510">
        <v>193408246.10384879</v>
      </c>
      <c r="H63" s="510">
        <v>164167113.78021425</v>
      </c>
      <c r="I63" s="510">
        <v>95017.210125840997</v>
      </c>
      <c r="J63" s="510">
        <v>216039639.9697293</v>
      </c>
      <c r="K63" s="510">
        <v>20526104.793345258</v>
      </c>
      <c r="L63" s="510">
        <v>5077487.2519735824</v>
      </c>
      <c r="M63" s="510">
        <v>48110.747662847549</v>
      </c>
      <c r="N63" s="510">
        <v>64218305.708536513</v>
      </c>
      <c r="O63" s="510">
        <v>32708.540763828554</v>
      </c>
      <c r="P63" s="510">
        <v>10852.63536477691</v>
      </c>
      <c r="Q63" s="510">
        <v>2192.7697666499203</v>
      </c>
      <c r="R63" s="510">
        <v>509263854</v>
      </c>
      <c r="S63" s="510">
        <v>501796.41545127571</v>
      </c>
      <c r="T63" s="510">
        <v>185142.35064022645</v>
      </c>
      <c r="U63" s="510">
        <v>15810200.799095662</v>
      </c>
      <c r="V63" s="510">
        <v>0</v>
      </c>
      <c r="W63" s="510">
        <v>213055.8764017754</v>
      </c>
      <c r="X63" s="510">
        <v>18285903.472472299</v>
      </c>
      <c r="Y63" s="510">
        <v>99371761.521502122</v>
      </c>
      <c r="Z63" s="510">
        <v>31248963.567779761</v>
      </c>
      <c r="AA63" s="510">
        <v>9153814.8046550062</v>
      </c>
      <c r="AB63" s="510">
        <v>425508.49362954701</v>
      </c>
      <c r="AC63" s="510">
        <v>572818.92212235299</v>
      </c>
      <c r="AD63" s="510">
        <v>623739.54264986701</v>
      </c>
      <c r="AE63" s="510">
        <v>870668.87920050393</v>
      </c>
      <c r="AF63" s="510">
        <v>1685384.9823386129</v>
      </c>
      <c r="AG63" s="510">
        <v>304239.64954278403</v>
      </c>
      <c r="AH63" s="510">
        <v>73.380669004787123</v>
      </c>
      <c r="AI63" s="510">
        <v>609479.54761021503</v>
      </c>
      <c r="AJ63" s="510">
        <v>4037170.7363536586</v>
      </c>
      <c r="AK63" s="510">
        <v>49171.453113116368</v>
      </c>
      <c r="AL63" s="510">
        <v>55514.543764655995</v>
      </c>
      <c r="AM63" s="510">
        <v>6385311.0596092241</v>
      </c>
      <c r="AN63" s="510">
        <v>5175825107.7408066</v>
      </c>
      <c r="AO63" s="510">
        <v>19415425803.68454</v>
      </c>
      <c r="AP63" s="510">
        <v>9671017.7898286451</v>
      </c>
    </row>
    <row r="64" spans="1:42" ht="15" customHeight="1" x14ac:dyDescent="0.25">
      <c r="A64" s="8">
        <v>71</v>
      </c>
      <c r="B64" s="250" t="s">
        <v>141</v>
      </c>
      <c r="C64" s="251" t="s">
        <v>142</v>
      </c>
      <c r="D64" s="204" t="s">
        <v>401</v>
      </c>
      <c r="E64" s="504"/>
      <c r="F64" s="505" t="s">
        <v>143</v>
      </c>
      <c r="G64" s="510">
        <v>2260070.8585560001</v>
      </c>
      <c r="H64" s="510">
        <v>0</v>
      </c>
      <c r="I64" s="510">
        <v>8.0652304160000003</v>
      </c>
      <c r="J64" s="510">
        <v>1696044.7102159059</v>
      </c>
      <c r="K64" s="510">
        <v>0</v>
      </c>
      <c r="L64" s="510">
        <v>0</v>
      </c>
      <c r="M64" s="510">
        <v>315655.92076184542</v>
      </c>
      <c r="N64" s="510">
        <v>4526447.8938105376</v>
      </c>
      <c r="O64" s="510">
        <v>58.481260130157168</v>
      </c>
      <c r="P64" s="510">
        <v>0</v>
      </c>
      <c r="Q64" s="510">
        <v>0</v>
      </c>
      <c r="R64" s="510">
        <v>0</v>
      </c>
      <c r="S64" s="510">
        <v>1.2203745605984</v>
      </c>
      <c r="T64" s="510">
        <v>0.51031868801759994</v>
      </c>
      <c r="U64" s="510">
        <v>0</v>
      </c>
      <c r="V64" s="510">
        <v>0</v>
      </c>
      <c r="W64" s="510">
        <v>183164.62153104311</v>
      </c>
      <c r="X64" s="510">
        <v>0.31559597280000001</v>
      </c>
      <c r="Y64" s="510">
        <v>0</v>
      </c>
      <c r="Z64" s="510">
        <v>105.19865759999999</v>
      </c>
      <c r="AA64" s="510">
        <v>2919117.5742525118</v>
      </c>
      <c r="AB64" s="510">
        <v>0</v>
      </c>
      <c r="AC64" s="510">
        <v>0</v>
      </c>
      <c r="AD64" s="510">
        <v>0</v>
      </c>
      <c r="AE64" s="510">
        <v>33343.585351224159</v>
      </c>
      <c r="AF64" s="510">
        <v>276463.24502126401</v>
      </c>
      <c r="AG64" s="510">
        <v>0</v>
      </c>
      <c r="AH64" s="510">
        <v>0</v>
      </c>
      <c r="AI64" s="510">
        <v>25.319906419999999</v>
      </c>
      <c r="AJ64" s="510">
        <v>0</v>
      </c>
      <c r="AK64" s="510">
        <v>6.0892177551448962E-2</v>
      </c>
      <c r="AL64" s="510">
        <v>478180.60478262597</v>
      </c>
      <c r="AM64" s="510">
        <v>338588.19140505599</v>
      </c>
      <c r="AN64" s="510">
        <v>0</v>
      </c>
      <c r="AO64" s="510">
        <v>0</v>
      </c>
      <c r="AP64" s="510">
        <v>0</v>
      </c>
    </row>
    <row r="65" spans="1:42" ht="15" customHeight="1" x14ac:dyDescent="0.25">
      <c r="A65" s="8">
        <v>72</v>
      </c>
      <c r="B65" s="250" t="s">
        <v>144</v>
      </c>
      <c r="C65" s="251" t="s">
        <v>145</v>
      </c>
      <c r="D65" s="204" t="s">
        <v>401</v>
      </c>
      <c r="E65" s="504"/>
      <c r="F65" s="505" t="s">
        <v>146</v>
      </c>
      <c r="G65" s="510">
        <v>253918795.83975163</v>
      </c>
      <c r="H65" s="510">
        <v>518144718.26991451</v>
      </c>
      <c r="I65" s="510">
        <v>127280.269307532</v>
      </c>
      <c r="J65" s="510">
        <v>222711149.89344284</v>
      </c>
      <c r="K65" s="510">
        <v>28762444.029450651</v>
      </c>
      <c r="L65" s="510">
        <v>6730913.6197173409</v>
      </c>
      <c r="M65" s="510">
        <v>79806.042323837493</v>
      </c>
      <c r="N65" s="510">
        <v>53278078.805219464</v>
      </c>
      <c r="O65" s="510">
        <v>9371.6131938879971</v>
      </c>
      <c r="P65" s="510">
        <v>5797.3881360288415</v>
      </c>
      <c r="Q65" s="510">
        <v>2378.6163917880003</v>
      </c>
      <c r="R65" s="510">
        <v>537062401</v>
      </c>
      <c r="S65" s="510">
        <v>164233.00830627917</v>
      </c>
      <c r="T65" s="510">
        <v>304110.78174219729</v>
      </c>
      <c r="U65" s="510">
        <v>17083013.618843429</v>
      </c>
      <c r="V65" s="510">
        <v>0</v>
      </c>
      <c r="W65" s="510">
        <v>291453.40279921534</v>
      </c>
      <c r="X65" s="510">
        <v>18746563.820689041</v>
      </c>
      <c r="Y65" s="510">
        <v>87186721.131117299</v>
      </c>
      <c r="Z65" s="510">
        <v>54895059.807493538</v>
      </c>
      <c r="AA65" s="510">
        <v>3294519.225283836</v>
      </c>
      <c r="AB65" s="510">
        <v>358896.18317777402</v>
      </c>
      <c r="AC65" s="510">
        <v>676070.67601210123</v>
      </c>
      <c r="AD65" s="510">
        <v>439285.14485383843</v>
      </c>
      <c r="AE65" s="510">
        <v>892529.66753746499</v>
      </c>
      <c r="AF65" s="510">
        <v>1041490.8204486719</v>
      </c>
      <c r="AG65" s="510">
        <v>170968.28919949959</v>
      </c>
      <c r="AH65" s="510">
        <v>9.30137755879284</v>
      </c>
      <c r="AI65" s="510">
        <v>536091.52311752504</v>
      </c>
      <c r="AJ65" s="510">
        <v>26417648.650043972</v>
      </c>
      <c r="AK65" s="510">
        <v>100383.22332568646</v>
      </c>
      <c r="AL65" s="510">
        <v>69146.108004631998</v>
      </c>
      <c r="AM65" s="510">
        <v>4715022.3623702433</v>
      </c>
      <c r="AN65" s="510">
        <v>39909694047.028709</v>
      </c>
      <c r="AO65" s="510">
        <v>27300571278.414474</v>
      </c>
      <c r="AP65" s="510">
        <v>13411054.159985824</v>
      </c>
    </row>
    <row r="66" spans="1:42" ht="15" customHeight="1" x14ac:dyDescent="0.25">
      <c r="A66" s="8">
        <v>73</v>
      </c>
      <c r="B66" s="250" t="s">
        <v>147</v>
      </c>
      <c r="C66" s="251" t="s">
        <v>148</v>
      </c>
      <c r="D66" s="204" t="s">
        <v>401</v>
      </c>
      <c r="E66" s="504"/>
      <c r="F66" s="505" t="s">
        <v>149</v>
      </c>
      <c r="G66" s="510">
        <v>101683826.78768322</v>
      </c>
      <c r="H66" s="510">
        <v>755851904.36576152</v>
      </c>
      <c r="I66" s="510">
        <v>498285.16114358098</v>
      </c>
      <c r="J66" s="510">
        <v>321867508.73671722</v>
      </c>
      <c r="K66" s="510">
        <v>35280572.078707829</v>
      </c>
      <c r="L66" s="510">
        <v>20731143.198622607</v>
      </c>
      <c r="M66" s="510">
        <v>115948.17117163075</v>
      </c>
      <c r="N66" s="510">
        <v>86104899.300351039</v>
      </c>
      <c r="O66" s="510">
        <v>529431.76755407418</v>
      </c>
      <c r="P66" s="510">
        <v>19640.475884985957</v>
      </c>
      <c r="Q66" s="510">
        <v>7058.0689298899997</v>
      </c>
      <c r="R66" s="510">
        <v>555104468</v>
      </c>
      <c r="S66" s="510">
        <v>822265.00437228475</v>
      </c>
      <c r="T66" s="510">
        <v>196369.58357087866</v>
      </c>
      <c r="U66" s="510">
        <v>113132851.56373689</v>
      </c>
      <c r="V66" s="510">
        <v>81460</v>
      </c>
      <c r="W66" s="510">
        <v>238490.2847876047</v>
      </c>
      <c r="X66" s="510">
        <v>39974092.31833607</v>
      </c>
      <c r="Y66" s="510">
        <v>1453158487.6612496</v>
      </c>
      <c r="Z66" s="510">
        <v>127941679.30653593</v>
      </c>
      <c r="AA66" s="510">
        <v>974848.95636143093</v>
      </c>
      <c r="AB66" s="510">
        <v>341197.41904820601</v>
      </c>
      <c r="AC66" s="510">
        <v>721751.73222114064</v>
      </c>
      <c r="AD66" s="510">
        <v>159670.3274987195</v>
      </c>
      <c r="AE66" s="510">
        <v>896627.696856422</v>
      </c>
      <c r="AF66" s="510">
        <v>530267.2877702337</v>
      </c>
      <c r="AG66" s="510">
        <v>1297519.8644999086</v>
      </c>
      <c r="AH66" s="510">
        <v>2.7074787867247889</v>
      </c>
      <c r="AI66" s="510">
        <v>391445.58134926402</v>
      </c>
      <c r="AJ66" s="510">
        <v>50814693.125149064</v>
      </c>
      <c r="AK66" s="510">
        <v>143496.4328627252</v>
      </c>
      <c r="AL66" s="510">
        <v>200133.152153006</v>
      </c>
      <c r="AM66" s="510">
        <v>102061790.22288762</v>
      </c>
      <c r="AN66" s="510">
        <v>83415640287.572815</v>
      </c>
      <c r="AO66" s="510">
        <v>44412365792.91748</v>
      </c>
      <c r="AP66" s="510">
        <v>77221927.840113044</v>
      </c>
    </row>
    <row r="67" spans="1:42" ht="15" customHeight="1" x14ac:dyDescent="0.25">
      <c r="A67" s="8">
        <v>74</v>
      </c>
      <c r="B67" s="250" t="s">
        <v>150</v>
      </c>
      <c r="C67" s="251" t="s">
        <v>151</v>
      </c>
      <c r="D67" s="204" t="s">
        <v>401</v>
      </c>
      <c r="E67" s="504"/>
      <c r="F67" s="505" t="s">
        <v>152</v>
      </c>
      <c r="G67" s="510">
        <v>7198325.4305570582</v>
      </c>
      <c r="H67" s="510">
        <v>24256870.227720119</v>
      </c>
      <c r="I67" s="510">
        <v>2356.3373611229999</v>
      </c>
      <c r="J67" s="510">
        <v>74711198.020825833</v>
      </c>
      <c r="K67" s="510">
        <v>58679103.945987865</v>
      </c>
      <c r="L67" s="510">
        <v>6517.3101378976635</v>
      </c>
      <c r="M67" s="510">
        <v>1331.416053622183</v>
      </c>
      <c r="N67" s="510">
        <v>31650926.126672246</v>
      </c>
      <c r="O67" s="510">
        <v>180.37171036290371</v>
      </c>
      <c r="P67" s="510">
        <v>125.83364132090539</v>
      </c>
      <c r="Q67" s="510">
        <v>667.00570266</v>
      </c>
      <c r="R67" s="510">
        <v>442649757</v>
      </c>
      <c r="S67" s="510">
        <v>9.2275334761196657</v>
      </c>
      <c r="T67" s="510">
        <v>216887.89625138571</v>
      </c>
      <c r="U67" s="510">
        <v>78118.035330941624</v>
      </c>
      <c r="V67" s="510">
        <v>0</v>
      </c>
      <c r="W67" s="510">
        <v>152800.75893202465</v>
      </c>
      <c r="X67" s="510">
        <v>4595999.2371522179</v>
      </c>
      <c r="Y67" s="510">
        <v>32581664.888351854</v>
      </c>
      <c r="Z67" s="510">
        <v>425665.78293176187</v>
      </c>
      <c r="AA67" s="510">
        <v>4300418.3518968532</v>
      </c>
      <c r="AB67" s="510">
        <v>47628.692533567002</v>
      </c>
      <c r="AC67" s="510">
        <v>38212.42615494271</v>
      </c>
      <c r="AD67" s="510">
        <v>2730203.0908588567</v>
      </c>
      <c r="AE67" s="510">
        <v>225222.128344478</v>
      </c>
      <c r="AF67" s="510">
        <v>1111405.2206602034</v>
      </c>
      <c r="AG67" s="510">
        <v>1549.3559209830069</v>
      </c>
      <c r="AH67" s="510">
        <v>0</v>
      </c>
      <c r="AI67" s="510">
        <v>181778.32254857599</v>
      </c>
      <c r="AJ67" s="510">
        <v>2484223.7642340399</v>
      </c>
      <c r="AK67" s="510">
        <v>34786.902924536436</v>
      </c>
      <c r="AL67" s="510">
        <v>296568.57371511502</v>
      </c>
      <c r="AM67" s="510">
        <v>101133.09782656301</v>
      </c>
      <c r="AN67" s="510">
        <v>106135702.09882249</v>
      </c>
      <c r="AO67" s="510">
        <v>1098683078.7521353</v>
      </c>
      <c r="AP67" s="510">
        <v>7211.987474646</v>
      </c>
    </row>
    <row r="68" spans="1:42" ht="15" customHeight="1" x14ac:dyDescent="0.25">
      <c r="A68" s="8">
        <v>75</v>
      </c>
      <c r="B68" s="250" t="s">
        <v>153</v>
      </c>
      <c r="C68" s="251" t="s">
        <v>154</v>
      </c>
      <c r="D68" s="204" t="s">
        <v>401</v>
      </c>
      <c r="E68" s="504"/>
      <c r="F68" s="505" t="s">
        <v>155</v>
      </c>
      <c r="G68" s="510">
        <v>49501092000.092094</v>
      </c>
      <c r="H68" s="510">
        <v>28494670323.691002</v>
      </c>
      <c r="I68" s="510">
        <v>2395277</v>
      </c>
      <c r="J68" s="510">
        <v>9870518816.8409634</v>
      </c>
      <c r="K68" s="510">
        <v>2700432164.2392397</v>
      </c>
      <c r="L68" s="510">
        <v>1748085506.25246</v>
      </c>
      <c r="M68" s="510">
        <v>4509986.4779415093</v>
      </c>
      <c r="N68" s="510">
        <v>12989084325.18704</v>
      </c>
      <c r="O68" s="510">
        <v>1157314.9483851199</v>
      </c>
      <c r="P68" s="510">
        <v>3647059.6844859603</v>
      </c>
      <c r="Q68" s="510">
        <v>1069433.0284</v>
      </c>
      <c r="R68" s="510">
        <v>28459146562</v>
      </c>
      <c r="S68" s="510">
        <v>11289424.522501511</v>
      </c>
      <c r="T68" s="510">
        <v>8058994.3842077721</v>
      </c>
      <c r="U68" s="510">
        <v>4369971812.0792818</v>
      </c>
      <c r="V68" s="510">
        <v>442322204</v>
      </c>
      <c r="W68" s="510">
        <v>15753181.816285999</v>
      </c>
      <c r="X68" s="510">
        <v>7850709166.4659996</v>
      </c>
      <c r="Y68" s="510">
        <v>362466947298</v>
      </c>
      <c r="Z68" s="510">
        <v>4259431640.5719237</v>
      </c>
      <c r="AA68" s="510">
        <v>163889330</v>
      </c>
      <c r="AB68" s="510">
        <v>5264047</v>
      </c>
      <c r="AC68" s="510">
        <v>4922349.4584901202</v>
      </c>
      <c r="AD68" s="510">
        <v>2139455.1104563856</v>
      </c>
      <c r="AE68" s="510">
        <v>5390530.6837593978</v>
      </c>
      <c r="AF68" s="510">
        <v>14274812.323191661</v>
      </c>
      <c r="AG68" s="510">
        <v>4809305.0205064714</v>
      </c>
      <c r="AH68" s="510">
        <v>75845.562385016296</v>
      </c>
      <c r="AI68" s="510">
        <v>5757402.7554200003</v>
      </c>
      <c r="AJ68" s="510">
        <v>1769597900.18837</v>
      </c>
      <c r="AK68" s="510">
        <v>18924065.940065663</v>
      </c>
      <c r="AL68" s="510">
        <v>65039888.053407431</v>
      </c>
      <c r="AM68" s="510">
        <v>3674208046.9244599</v>
      </c>
      <c r="AN68" s="510">
        <v>1599992124460.28</v>
      </c>
      <c r="AO68" s="510">
        <v>2495868000000</v>
      </c>
      <c r="AP68" s="510">
        <v>772735949</v>
      </c>
    </row>
    <row r="69" spans="1:42" ht="15" customHeight="1" x14ac:dyDescent="0.25">
      <c r="A69" s="8">
        <v>76</v>
      </c>
      <c r="B69" s="250" t="s">
        <v>156</v>
      </c>
      <c r="C69" s="251" t="s">
        <v>157</v>
      </c>
      <c r="D69" s="204" t="s">
        <v>401</v>
      </c>
      <c r="E69" s="504"/>
      <c r="F69" s="505" t="s">
        <v>158</v>
      </c>
      <c r="G69" s="510">
        <v>4258701497.1391654</v>
      </c>
      <c r="H69" s="510">
        <v>3081884850.3176546</v>
      </c>
      <c r="I69" s="510">
        <v>1786716.2549270398</v>
      </c>
      <c r="J69" s="510">
        <v>855680597.55456769</v>
      </c>
      <c r="K69" s="510">
        <v>260334749.78087932</v>
      </c>
      <c r="L69" s="510">
        <v>39806175.287599593</v>
      </c>
      <c r="M69" s="510">
        <v>774256.85628562619</v>
      </c>
      <c r="N69" s="510">
        <v>545359327.06639051</v>
      </c>
      <c r="O69" s="510">
        <v>133696.63837188605</v>
      </c>
      <c r="P69" s="510">
        <v>59968.529071123965</v>
      </c>
      <c r="Q69" s="510">
        <v>285824.42513503198</v>
      </c>
      <c r="R69" s="510">
        <v>2227845081</v>
      </c>
      <c r="S69" s="510">
        <v>2329850.541438994</v>
      </c>
      <c r="T69" s="510">
        <v>1946225.2532406482</v>
      </c>
      <c r="U69" s="510">
        <v>195533410.02959314</v>
      </c>
      <c r="V69" s="510">
        <v>0</v>
      </c>
      <c r="W69" s="510">
        <v>1798572.1536379778</v>
      </c>
      <c r="X69" s="510">
        <v>115594763.01927198</v>
      </c>
      <c r="Y69" s="510">
        <v>18803096566.819088</v>
      </c>
      <c r="Z69" s="510">
        <v>225977643.63137144</v>
      </c>
      <c r="AA69" s="510">
        <v>27601970.769238975</v>
      </c>
      <c r="AB69" s="510">
        <v>3947460.8242733115</v>
      </c>
      <c r="AC69" s="510">
        <v>2451630.0453680879</v>
      </c>
      <c r="AD69" s="510">
        <v>980301.71068573545</v>
      </c>
      <c r="AE69" s="510">
        <v>8965149.4413800035</v>
      </c>
      <c r="AF69" s="510">
        <v>25403655.993215106</v>
      </c>
      <c r="AG69" s="510">
        <v>5037067.9805070003</v>
      </c>
      <c r="AH69" s="510">
        <v>696114.73310932727</v>
      </c>
      <c r="AI69" s="510">
        <v>19230405</v>
      </c>
      <c r="AJ69" s="510">
        <v>310454980.25923997</v>
      </c>
      <c r="AK69" s="510">
        <v>935931.72539617307</v>
      </c>
      <c r="AL69" s="510">
        <v>3771793.2418868179</v>
      </c>
      <c r="AM69" s="510">
        <v>62082960.400877088</v>
      </c>
      <c r="AN69" s="510">
        <v>71233148366.53772</v>
      </c>
      <c r="AO69" s="510">
        <v>363398538709.27771</v>
      </c>
      <c r="AP69" s="510">
        <v>188021783.34791735</v>
      </c>
    </row>
    <row r="70" spans="1:42" ht="15" customHeight="1" x14ac:dyDescent="0.25">
      <c r="A70" s="8">
        <v>77</v>
      </c>
      <c r="B70" s="250" t="s">
        <v>159</v>
      </c>
      <c r="C70" s="251" t="s">
        <v>160</v>
      </c>
      <c r="D70" s="204" t="s">
        <v>401</v>
      </c>
      <c r="E70" s="504"/>
      <c r="F70" s="505" t="s">
        <v>161</v>
      </c>
      <c r="G70" s="510">
        <v>23174866.838568304</v>
      </c>
      <c r="H70" s="510">
        <v>61020334.269628696</v>
      </c>
      <c r="I70" s="510">
        <v>28064.045227931998</v>
      </c>
      <c r="J70" s="510">
        <v>97479458.929924339</v>
      </c>
      <c r="K70" s="510">
        <v>56574667.202521659</v>
      </c>
      <c r="L70" s="510">
        <v>64503.278038130265</v>
      </c>
      <c r="M70" s="510">
        <v>49218.995378743282</v>
      </c>
      <c r="N70" s="510">
        <v>23239860.714928627</v>
      </c>
      <c r="O70" s="510">
        <v>11307.360226964416</v>
      </c>
      <c r="P70" s="510">
        <v>52096.624250409135</v>
      </c>
      <c r="Q70" s="510">
        <v>863.278520824</v>
      </c>
      <c r="R70" s="510">
        <v>228584892</v>
      </c>
      <c r="S70" s="510">
        <v>142524.68724175973</v>
      </c>
      <c r="T70" s="510">
        <v>245240.04042288344</v>
      </c>
      <c r="U70" s="510">
        <v>1857123.2994839142</v>
      </c>
      <c r="V70" s="510">
        <v>0</v>
      </c>
      <c r="W70" s="510">
        <v>174979.48401562747</v>
      </c>
      <c r="X70" s="510">
        <v>21307269.193460967</v>
      </c>
      <c r="Y70" s="510">
        <v>1978554348.5534775</v>
      </c>
      <c r="Z70" s="510">
        <v>3073180.1136857909</v>
      </c>
      <c r="AA70" s="510">
        <v>15830195.557599233</v>
      </c>
      <c r="AB70" s="510">
        <v>202946.738174397</v>
      </c>
      <c r="AC70" s="510">
        <v>472504.78126355988</v>
      </c>
      <c r="AD70" s="510">
        <v>2383977.9706161623</v>
      </c>
      <c r="AE70" s="510">
        <v>316965.89004150016</v>
      </c>
      <c r="AF70" s="510">
        <v>3166665.0434970488</v>
      </c>
      <c r="AG70" s="510">
        <v>11961.273178880499</v>
      </c>
      <c r="AH70" s="510">
        <v>0.85416787369376734</v>
      </c>
      <c r="AI70" s="510">
        <v>370321.58827836905</v>
      </c>
      <c r="AJ70" s="510">
        <v>1425106.3828042082</v>
      </c>
      <c r="AK70" s="510">
        <v>18358.688487608917</v>
      </c>
      <c r="AL70" s="510">
        <v>159915.661406753</v>
      </c>
      <c r="AM70" s="510">
        <v>10064924.679626396</v>
      </c>
      <c r="AN70" s="510">
        <v>1467599056.8283701</v>
      </c>
      <c r="AO70" s="510">
        <v>2886172889.7660222</v>
      </c>
      <c r="AP70" s="510">
        <v>228589.18207965</v>
      </c>
    </row>
    <row r="71" spans="1:42" ht="15" customHeight="1" x14ac:dyDescent="0.25">
      <c r="A71" s="8">
        <v>78</v>
      </c>
      <c r="B71" s="250" t="s">
        <v>162</v>
      </c>
      <c r="C71" s="251" t="s">
        <v>163</v>
      </c>
      <c r="D71" s="204" t="s">
        <v>401</v>
      </c>
      <c r="E71" s="504"/>
      <c r="F71" s="505" t="s">
        <v>164</v>
      </c>
      <c r="G71" s="510">
        <v>740755.54583919968</v>
      </c>
      <c r="H71" s="510">
        <v>169949.61487597</v>
      </c>
      <c r="I71" s="510">
        <v>155.43260953999999</v>
      </c>
      <c r="J71" s="510">
        <v>2373543.125608095</v>
      </c>
      <c r="K71" s="510">
        <v>544.6883990947091</v>
      </c>
      <c r="L71" s="510">
        <v>2297.4034309767999</v>
      </c>
      <c r="M71" s="510">
        <v>18.866018598862951</v>
      </c>
      <c r="N71" s="510">
        <v>1929379.4728472093</v>
      </c>
      <c r="O71" s="510">
        <v>85.481123702645078</v>
      </c>
      <c r="P71" s="510">
        <v>2.6049001622649723</v>
      </c>
      <c r="Q71" s="510">
        <v>305.73492319999997</v>
      </c>
      <c r="R71" s="510">
        <v>330099</v>
      </c>
      <c r="S71" s="510">
        <v>6.3003195451688558</v>
      </c>
      <c r="T71" s="510">
        <v>6.6211847090507385</v>
      </c>
      <c r="U71" s="510">
        <v>4359.0577981801398</v>
      </c>
      <c r="V71" s="510">
        <v>0</v>
      </c>
      <c r="W71" s="510">
        <v>1565.5793785248577</v>
      </c>
      <c r="X71" s="510">
        <v>85993.154444324668</v>
      </c>
      <c r="Y71" s="510">
        <v>1785517.24057442</v>
      </c>
      <c r="Z71" s="510">
        <v>163447.941181706</v>
      </c>
      <c r="AA71" s="510">
        <v>1509.6124281099999</v>
      </c>
      <c r="AB71" s="510">
        <v>372.60959013999997</v>
      </c>
      <c r="AC71" s="510">
        <v>1883.7312917942197</v>
      </c>
      <c r="AD71" s="510">
        <v>494827.84374935523</v>
      </c>
      <c r="AE71" s="510">
        <v>31207.802836402941</v>
      </c>
      <c r="AF71" s="510">
        <v>280557.09848215926</v>
      </c>
      <c r="AG71" s="510">
        <v>92.657684277947254</v>
      </c>
      <c r="AH71" s="510">
        <v>1.6050036441508373</v>
      </c>
      <c r="AI71" s="510">
        <v>27083.384217250001</v>
      </c>
      <c r="AJ71" s="510">
        <v>1112.9222750199999</v>
      </c>
      <c r="AK71" s="510">
        <v>77.795210254312991</v>
      </c>
      <c r="AL71" s="510">
        <v>392506.03584301</v>
      </c>
      <c r="AM71" s="510">
        <v>178735.18308517998</v>
      </c>
      <c r="AN71" s="510">
        <v>12562753.833109921</v>
      </c>
      <c r="AO71" s="510">
        <v>13402242.595007669</v>
      </c>
      <c r="AP71" s="510">
        <v>77220.141878589988</v>
      </c>
    </row>
    <row r="72" spans="1:42" ht="15" customHeight="1" x14ac:dyDescent="0.25">
      <c r="A72" s="8">
        <v>79</v>
      </c>
      <c r="B72" s="250" t="s">
        <v>165</v>
      </c>
      <c r="C72" s="251" t="s">
        <v>166</v>
      </c>
      <c r="D72" s="204" t="s">
        <v>401</v>
      </c>
      <c r="E72" s="504"/>
      <c r="F72" s="505" t="s">
        <v>167</v>
      </c>
      <c r="G72" s="510">
        <v>157746813.65281779</v>
      </c>
      <c r="H72" s="510">
        <v>206611236.81777221</v>
      </c>
      <c r="I72" s="510">
        <v>149832.78670031999</v>
      </c>
      <c r="J72" s="510">
        <v>396101879.70884222</v>
      </c>
      <c r="K72" s="510">
        <v>21632295.429151416</v>
      </c>
      <c r="L72" s="510">
        <v>28632945.860675659</v>
      </c>
      <c r="M72" s="510">
        <v>54641.750455618509</v>
      </c>
      <c r="N72" s="510">
        <v>82825405.277950063</v>
      </c>
      <c r="O72" s="510">
        <v>37706.832949243275</v>
      </c>
      <c r="P72" s="510">
        <v>16721.173380392935</v>
      </c>
      <c r="Q72" s="510">
        <v>9135.6805400880003</v>
      </c>
      <c r="R72" s="510">
        <v>1824678611</v>
      </c>
      <c r="S72" s="510">
        <v>1032008.9794811152</v>
      </c>
      <c r="T72" s="510">
        <v>1133840.7189391349</v>
      </c>
      <c r="U72" s="510">
        <v>23355216.888923272</v>
      </c>
      <c r="V72" s="510">
        <v>44738</v>
      </c>
      <c r="W72" s="510">
        <v>1428062.1356167174</v>
      </c>
      <c r="X72" s="510">
        <v>45845881.487150244</v>
      </c>
      <c r="Y72" s="510">
        <v>296235179.88515931</v>
      </c>
      <c r="Z72" s="510">
        <v>87195425.434817821</v>
      </c>
      <c r="AA72" s="510">
        <v>8044986.433243324</v>
      </c>
      <c r="AB72" s="510">
        <v>1586561.630152076</v>
      </c>
      <c r="AC72" s="510">
        <v>664604.94831119711</v>
      </c>
      <c r="AD72" s="510">
        <v>145642.80119060061</v>
      </c>
      <c r="AE72" s="510">
        <v>3657589.2853105697</v>
      </c>
      <c r="AF72" s="510">
        <v>1610608.2725012668</v>
      </c>
      <c r="AG72" s="510">
        <v>75904.85018302135</v>
      </c>
      <c r="AH72" s="510">
        <v>13.520719230836493</v>
      </c>
      <c r="AI72" s="510">
        <v>749294.31365530705</v>
      </c>
      <c r="AJ72" s="510">
        <v>19738673.203550212</v>
      </c>
      <c r="AK72" s="510">
        <v>94910.381058864325</v>
      </c>
      <c r="AL72" s="510">
        <v>1047031.121938366</v>
      </c>
      <c r="AM72" s="510">
        <v>31191199.491409246</v>
      </c>
      <c r="AN72" s="510">
        <v>12320500897.264378</v>
      </c>
      <c r="AO72" s="510">
        <v>27018447370.492168</v>
      </c>
      <c r="AP72" s="510">
        <v>7660101.1880744761</v>
      </c>
    </row>
    <row r="73" spans="1:42" ht="15" customHeight="1" x14ac:dyDescent="0.25">
      <c r="A73" s="8">
        <v>80</v>
      </c>
      <c r="B73" s="250" t="s">
        <v>168</v>
      </c>
      <c r="C73" s="251" t="s">
        <v>169</v>
      </c>
      <c r="D73" s="204" t="s">
        <v>401</v>
      </c>
      <c r="E73" s="504"/>
      <c r="F73" s="505" t="s">
        <v>170</v>
      </c>
      <c r="G73" s="510">
        <v>1680255489.5788765</v>
      </c>
      <c r="H73" s="510">
        <v>28585439538</v>
      </c>
      <c r="I73" s="510">
        <v>2019381.958610676</v>
      </c>
      <c r="J73" s="510">
        <v>26928430608.951187</v>
      </c>
      <c r="K73" s="510">
        <v>7145007.6766599249</v>
      </c>
      <c r="L73" s="510">
        <v>1185085.4396368209</v>
      </c>
      <c r="M73" s="510">
        <v>15382.102783233078</v>
      </c>
      <c r="N73" s="510">
        <v>6795433381.8218699</v>
      </c>
      <c r="O73" s="510">
        <v>35959.633887063501</v>
      </c>
      <c r="P73" s="510">
        <v>5314.1586283852075</v>
      </c>
      <c r="Q73" s="510">
        <v>432025.043969705</v>
      </c>
      <c r="R73" s="510">
        <v>166783994</v>
      </c>
      <c r="S73" s="510">
        <v>143235.7963728623</v>
      </c>
      <c r="T73" s="510">
        <v>85897.571816788288</v>
      </c>
      <c r="U73" s="510">
        <v>2968823.8868711456</v>
      </c>
      <c r="V73" s="510">
        <v>100110</v>
      </c>
      <c r="W73" s="510">
        <v>102466.97709815572</v>
      </c>
      <c r="X73" s="510">
        <v>11944425.443694234</v>
      </c>
      <c r="Y73" s="510">
        <v>25051210.802902218</v>
      </c>
      <c r="Z73" s="510">
        <v>29564223.116258118</v>
      </c>
      <c r="AA73" s="510">
        <v>687775.52419059002</v>
      </c>
      <c r="AB73" s="510">
        <v>187508.79095196602</v>
      </c>
      <c r="AC73" s="510">
        <v>165277.75617022236</v>
      </c>
      <c r="AD73" s="510">
        <v>67722.9317513969</v>
      </c>
      <c r="AE73" s="510">
        <v>229776.78495893185</v>
      </c>
      <c r="AF73" s="510">
        <v>383569.5434004647</v>
      </c>
      <c r="AG73" s="510">
        <v>118873.47756958466</v>
      </c>
      <c r="AH73" s="510">
        <v>4.6917673426418078</v>
      </c>
      <c r="AI73" s="510">
        <v>274135.77213401598</v>
      </c>
      <c r="AJ73" s="510">
        <v>6357296.5164535139</v>
      </c>
      <c r="AK73" s="510">
        <v>31037.830442600833</v>
      </c>
      <c r="AL73" s="510">
        <v>128923.81691707602</v>
      </c>
      <c r="AM73" s="510">
        <v>4103187.447691442</v>
      </c>
      <c r="AN73" s="510">
        <v>8092222472.6967945</v>
      </c>
      <c r="AO73" s="510">
        <v>5670621450.4139509</v>
      </c>
      <c r="AP73" s="510">
        <v>6505572.5054403599</v>
      </c>
    </row>
    <row r="74" spans="1:42" ht="15" customHeight="1" x14ac:dyDescent="0.25">
      <c r="A74" s="8">
        <v>81</v>
      </c>
      <c r="B74" s="250" t="s">
        <v>171</v>
      </c>
      <c r="C74" s="251" t="s">
        <v>172</v>
      </c>
      <c r="D74" s="204" t="s">
        <v>401</v>
      </c>
      <c r="E74" s="504"/>
      <c r="F74" s="505" t="s">
        <v>173</v>
      </c>
      <c r="G74" s="510">
        <v>54595872541.586693</v>
      </c>
      <c r="H74" s="510">
        <v>52550630963.010696</v>
      </c>
      <c r="I74" s="510">
        <v>6430380.5726920981</v>
      </c>
      <c r="J74" s="510">
        <v>9105867227.748436</v>
      </c>
      <c r="K74" s="510">
        <v>2858938726.4085083</v>
      </c>
      <c r="L74" s="510">
        <v>525706702.54781836</v>
      </c>
      <c r="M74" s="510">
        <v>5562715.3112338763</v>
      </c>
      <c r="N74" s="510">
        <v>6280816819.7516193</v>
      </c>
      <c r="O74" s="510">
        <v>3940989.2826447617</v>
      </c>
      <c r="P74" s="510">
        <v>307291.78117147041</v>
      </c>
      <c r="Q74" s="510">
        <v>356343.10416728805</v>
      </c>
      <c r="R74" s="510">
        <v>14605334492</v>
      </c>
      <c r="S74" s="510">
        <v>7969782.8511284385</v>
      </c>
      <c r="T74" s="510">
        <v>7802561.0022777487</v>
      </c>
      <c r="U74" s="510">
        <v>607677330.18657398</v>
      </c>
      <c r="V74" s="510">
        <v>331578</v>
      </c>
      <c r="W74" s="510">
        <v>3194115.3305872506</v>
      </c>
      <c r="X74" s="510">
        <v>2358481500.6744928</v>
      </c>
      <c r="Y74" s="510">
        <v>399317202381.11871</v>
      </c>
      <c r="Z74" s="510">
        <v>2149107117.6942425</v>
      </c>
      <c r="AA74" s="510">
        <v>338280794.59926176</v>
      </c>
      <c r="AB74" s="510">
        <v>6725942.169074568</v>
      </c>
      <c r="AC74" s="510">
        <v>8279320.9897589413</v>
      </c>
      <c r="AD74" s="510">
        <v>9447607.5533418749</v>
      </c>
      <c r="AE74" s="510">
        <v>11098473.333597718</v>
      </c>
      <c r="AF74" s="510">
        <v>28253820.533108953</v>
      </c>
      <c r="AG74" s="510">
        <v>15024009.294489758</v>
      </c>
      <c r="AH74" s="510">
        <v>79606.305414379633</v>
      </c>
      <c r="AI74" s="510">
        <v>11429014.785440596</v>
      </c>
      <c r="AJ74" s="510">
        <v>503138407.49459034</v>
      </c>
      <c r="AK74" s="510">
        <v>7224355.4275355581</v>
      </c>
      <c r="AL74" s="510">
        <v>93252828.889927819</v>
      </c>
      <c r="AM74" s="510">
        <v>204689349.82890013</v>
      </c>
      <c r="AN74" s="510">
        <v>294999160968.3504</v>
      </c>
      <c r="AO74" s="510">
        <v>1628038615258.5652</v>
      </c>
      <c r="AP74" s="510">
        <v>3825575621.3095551</v>
      </c>
    </row>
    <row r="75" spans="1:42" ht="15" customHeight="1" x14ac:dyDescent="0.25">
      <c r="A75" s="8">
        <v>85</v>
      </c>
      <c r="B75" s="19" t="s">
        <v>137</v>
      </c>
      <c r="C75" s="36" t="s">
        <v>138</v>
      </c>
      <c r="D75" s="252"/>
      <c r="E75" s="506" t="s">
        <v>139</v>
      </c>
      <c r="F75" s="505" t="s">
        <v>382</v>
      </c>
      <c r="G75" s="510">
        <v>34064027.060609996</v>
      </c>
      <c r="H75" s="510">
        <v>26053250</v>
      </c>
      <c r="I75" s="510">
        <v>130313</v>
      </c>
      <c r="J75" s="510">
        <v>34285397.485739999</v>
      </c>
      <c r="K75" s="510">
        <v>28150882</v>
      </c>
      <c r="L75" s="510">
        <v>6963607.91261</v>
      </c>
      <c r="M75" s="510">
        <v>65982.3189071261</v>
      </c>
      <c r="N75" s="510">
        <v>10191417.359270001</v>
      </c>
      <c r="O75" s="510">
        <v>45023.306361410003</v>
      </c>
      <c r="P75" s="510">
        <v>14884.034907120002</v>
      </c>
      <c r="Q75" s="510">
        <v>403.24</v>
      </c>
      <c r="R75" s="510">
        <v>698438741.04110479</v>
      </c>
      <c r="S75" s="510">
        <v>688197.39287333994</v>
      </c>
      <c r="T75" s="510">
        <v>253916.68632479</v>
      </c>
      <c r="U75" s="510">
        <v>21683173.964000002</v>
      </c>
      <c r="V75" s="510">
        <v>0</v>
      </c>
      <c r="W75" s="510">
        <v>292199.17512600002</v>
      </c>
      <c r="X75" s="510">
        <v>25078519.313000001</v>
      </c>
      <c r="Y75" s="510">
        <v>136285125</v>
      </c>
      <c r="Z75" s="510">
        <v>42856932.80212</v>
      </c>
      <c r="AA75" s="510">
        <v>12554158</v>
      </c>
      <c r="AB75" s="510">
        <v>583571</v>
      </c>
      <c r="AC75" s="510">
        <v>785602.44085959997</v>
      </c>
      <c r="AD75" s="510">
        <v>644625.054704902</v>
      </c>
      <c r="AE75" s="510">
        <v>1405932.4301718005</v>
      </c>
      <c r="AF75" s="510">
        <v>1741819</v>
      </c>
      <c r="AG75" s="510">
        <v>491277.91294100002</v>
      </c>
      <c r="AH75" s="510">
        <v>118.49310887999999</v>
      </c>
      <c r="AI75" s="510">
        <v>984171</v>
      </c>
      <c r="AJ75" s="510">
        <v>5536847.7928334437</v>
      </c>
      <c r="AK75" s="510">
        <v>67437.041784779707</v>
      </c>
      <c r="AL75" s="510">
        <v>76136.383419619859</v>
      </c>
      <c r="AM75" s="510">
        <v>8757245.5453999992</v>
      </c>
      <c r="AN75" s="510">
        <v>7098475069.6400003</v>
      </c>
      <c r="AO75" s="510">
        <v>26627622295</v>
      </c>
      <c r="AP75" s="510">
        <v>13263485</v>
      </c>
    </row>
    <row r="76" spans="1:42" ht="15" customHeight="1" x14ac:dyDescent="0.25">
      <c r="A76" s="8">
        <v>86</v>
      </c>
      <c r="B76" s="21" t="s">
        <v>141</v>
      </c>
      <c r="C76" s="15" t="s">
        <v>142</v>
      </c>
      <c r="D76" s="253"/>
      <c r="E76" s="507" t="s">
        <v>139</v>
      </c>
      <c r="F76" s="505" t="s">
        <v>383</v>
      </c>
      <c r="G76" s="510">
        <v>828000</v>
      </c>
      <c r="H76" s="510">
        <v>0</v>
      </c>
      <c r="I76" s="510">
        <v>23</v>
      </c>
      <c r="J76" s="510">
        <v>559785.26838000002</v>
      </c>
      <c r="K76" s="510">
        <v>0</v>
      </c>
      <c r="L76" s="510">
        <v>0</v>
      </c>
      <c r="M76" s="510">
        <v>900170.95644530002</v>
      </c>
      <c r="N76" s="510">
        <v>1493969.37108</v>
      </c>
      <c r="O76" s="510">
        <v>190.50855300000001</v>
      </c>
      <c r="P76" s="510">
        <v>0</v>
      </c>
      <c r="Q76" s="510">
        <v>0</v>
      </c>
      <c r="R76" s="510">
        <v>0</v>
      </c>
      <c r="S76" s="510">
        <v>3.4802</v>
      </c>
      <c r="T76" s="510">
        <v>1.4553</v>
      </c>
      <c r="U76" s="510">
        <v>0</v>
      </c>
      <c r="V76" s="510">
        <v>0</v>
      </c>
      <c r="W76" s="510">
        <v>522339.23619299999</v>
      </c>
      <c r="X76" s="510">
        <v>0.9</v>
      </c>
      <c r="Y76" s="510">
        <v>0</v>
      </c>
      <c r="Z76" s="510">
        <v>300</v>
      </c>
      <c r="AA76" s="510">
        <v>8324586</v>
      </c>
      <c r="AB76" s="510">
        <v>0</v>
      </c>
      <c r="AC76" s="510">
        <v>0</v>
      </c>
      <c r="AD76" s="510">
        <v>0</v>
      </c>
      <c r="AE76" s="510">
        <v>111935.83056117999</v>
      </c>
      <c r="AF76" s="510">
        <v>594216</v>
      </c>
      <c r="AG76" s="510">
        <v>0</v>
      </c>
      <c r="AH76" s="510">
        <v>0</v>
      </c>
      <c r="AI76" s="510">
        <v>85</v>
      </c>
      <c r="AJ76" s="510">
        <v>0</v>
      </c>
      <c r="AK76" s="510">
        <v>0.17364910999999955</v>
      </c>
      <c r="AL76" s="510">
        <v>1363650.3041725866</v>
      </c>
      <c r="AM76" s="510">
        <v>965568</v>
      </c>
      <c r="AN76" s="510">
        <v>0</v>
      </c>
      <c r="AO76" s="510">
        <v>0</v>
      </c>
      <c r="AP76" s="510">
        <v>0</v>
      </c>
    </row>
    <row r="77" spans="1:42" ht="15" customHeight="1" x14ac:dyDescent="0.25">
      <c r="A77" s="8">
        <v>87</v>
      </c>
      <c r="B77" s="21" t="s">
        <v>144</v>
      </c>
      <c r="C77" s="15" t="s">
        <v>145</v>
      </c>
      <c r="D77" s="254"/>
      <c r="E77" s="507" t="s">
        <v>139</v>
      </c>
      <c r="F77" s="505" t="s">
        <v>384</v>
      </c>
      <c r="G77" s="510">
        <v>44517315.646179996</v>
      </c>
      <c r="H77" s="510">
        <v>81913221</v>
      </c>
      <c r="I77" s="510">
        <v>173996</v>
      </c>
      <c r="J77" s="510">
        <v>35208286.405579999</v>
      </c>
      <c r="K77" s="510">
        <v>39319136</v>
      </c>
      <c r="L77" s="510">
        <v>9201363.6720599998</v>
      </c>
      <c r="M77" s="510">
        <v>109097.287550732</v>
      </c>
      <c r="N77" s="510">
        <v>8422702.9432999995</v>
      </c>
      <c r="O77" s="510">
        <v>12818.492526600001</v>
      </c>
      <c r="P77" s="510">
        <v>7925.205938080001</v>
      </c>
      <c r="Q77" s="510">
        <v>436</v>
      </c>
      <c r="R77" s="510">
        <v>734180639.68317676</v>
      </c>
      <c r="S77" s="510">
        <v>224511.51831094001</v>
      </c>
      <c r="T77" s="510">
        <v>415728.68966961</v>
      </c>
      <c r="U77" s="510">
        <v>23352999.280999999</v>
      </c>
      <c r="V77" s="510">
        <v>0</v>
      </c>
      <c r="W77" s="510">
        <v>398425.66761800001</v>
      </c>
      <c r="X77" s="510">
        <v>25627123.011999998</v>
      </c>
      <c r="Y77" s="510">
        <v>119186900</v>
      </c>
      <c r="Z77" s="510">
        <v>75043216.660600036</v>
      </c>
      <c r="AA77" s="510">
        <v>4503708</v>
      </c>
      <c r="AB77" s="510">
        <v>490622</v>
      </c>
      <c r="AC77" s="510">
        <v>924209.18012969999</v>
      </c>
      <c r="AD77" s="510">
        <v>452379.27565427101</v>
      </c>
      <c r="AE77" s="510">
        <v>1436602.57430377</v>
      </c>
      <c r="AF77" s="510">
        <v>1072535.3872640198</v>
      </c>
      <c r="AG77" s="510">
        <v>275188.033879</v>
      </c>
      <c r="AH77" s="510">
        <v>14.971359980000001</v>
      </c>
      <c r="AI77" s="510">
        <v>862885</v>
      </c>
      <c r="AJ77" s="510">
        <v>36113729.327574909</v>
      </c>
      <c r="AK77" s="510">
        <v>137226.91993662011</v>
      </c>
      <c r="AL77" s="510">
        <v>94524.833061945668</v>
      </c>
      <c r="AM77" s="510">
        <v>6445579</v>
      </c>
      <c r="AN77" s="510">
        <v>54557765812.300003</v>
      </c>
      <c r="AO77" s="510">
        <v>37320711419</v>
      </c>
      <c r="AP77" s="510">
        <v>18333319</v>
      </c>
    </row>
    <row r="78" spans="1:42" ht="15" customHeight="1" x14ac:dyDescent="0.25">
      <c r="A78" s="8">
        <v>88</v>
      </c>
      <c r="B78" s="21" t="s">
        <v>147</v>
      </c>
      <c r="C78" s="15" t="s">
        <v>148</v>
      </c>
      <c r="D78" s="255"/>
      <c r="E78" s="507" t="s">
        <v>139</v>
      </c>
      <c r="F78" s="505" t="s">
        <v>385</v>
      </c>
      <c r="G78" s="510">
        <v>16034086.130199999</v>
      </c>
      <c r="H78" s="510">
        <v>107550048</v>
      </c>
      <c r="I78" s="510">
        <v>613389</v>
      </c>
      <c r="J78" s="510">
        <v>45798476.942809999</v>
      </c>
      <c r="K78" s="510">
        <v>43430382</v>
      </c>
      <c r="L78" s="510">
        <v>25520035.889239997</v>
      </c>
      <c r="M78" s="510">
        <v>142732.190947789</v>
      </c>
      <c r="N78" s="510">
        <v>12251852.51145</v>
      </c>
      <c r="O78" s="510">
        <v>651677.56268231</v>
      </c>
      <c r="P78" s="510">
        <v>24177.424499190001</v>
      </c>
      <c r="Q78" s="510">
        <v>1165</v>
      </c>
      <c r="R78" s="510">
        <v>683333563.1234014</v>
      </c>
      <c r="S78" s="510">
        <v>1012208.1653191706</v>
      </c>
      <c r="T78" s="510">
        <v>241730.94422583</v>
      </c>
      <c r="U78" s="510">
        <v>139266532.699</v>
      </c>
      <c r="V78" s="510">
        <v>100277.25454501764</v>
      </c>
      <c r="W78" s="510">
        <v>293581.52460300003</v>
      </c>
      <c r="X78" s="510">
        <v>49208104.967</v>
      </c>
      <c r="Y78" s="510">
        <v>1788838001</v>
      </c>
      <c r="Z78" s="510">
        <v>157496198.65871003</v>
      </c>
      <c r="AA78" s="510">
        <v>1200039</v>
      </c>
      <c r="AB78" s="510">
        <v>420014</v>
      </c>
      <c r="AC78" s="510">
        <v>888476.33403200004</v>
      </c>
      <c r="AD78" s="510">
        <v>147993.62062022401</v>
      </c>
      <c r="AE78" s="510">
        <v>1299709.1003666897</v>
      </c>
      <c r="AF78" s="510">
        <v>491488.78844888991</v>
      </c>
      <c r="AG78" s="510">
        <v>1880823.425051</v>
      </c>
      <c r="AH78" s="510">
        <v>3.9246331899999998</v>
      </c>
      <c r="AI78" s="510">
        <v>567421</v>
      </c>
      <c r="AJ78" s="510">
        <v>62552883.834244169</v>
      </c>
      <c r="AK78" s="510">
        <v>176644.09924475237</v>
      </c>
      <c r="AL78" s="510">
        <v>246363.89689840077</v>
      </c>
      <c r="AM78" s="510">
        <v>125638056.92979001</v>
      </c>
      <c r="AN78" s="510">
        <v>102684647608.06</v>
      </c>
      <c r="AO78" s="510">
        <v>54671619317</v>
      </c>
      <c r="AP78" s="510">
        <v>95060188</v>
      </c>
    </row>
    <row r="79" spans="1:42" ht="15" customHeight="1" x14ac:dyDescent="0.25">
      <c r="A79" s="8">
        <v>89</v>
      </c>
      <c r="B79" s="21" t="s">
        <v>150</v>
      </c>
      <c r="C79" s="15" t="s">
        <v>151</v>
      </c>
      <c r="D79" s="256"/>
      <c r="E79" s="507" t="s">
        <v>139</v>
      </c>
      <c r="F79" s="505" t="s">
        <v>386</v>
      </c>
      <c r="G79" s="510">
        <v>7527784.5522699999</v>
      </c>
      <c r="H79" s="510">
        <v>22888094</v>
      </c>
      <c r="I79" s="510">
        <v>19233</v>
      </c>
      <c r="J79" s="510">
        <v>70495365.111000001</v>
      </c>
      <c r="K79" s="510">
        <v>478953152</v>
      </c>
      <c r="L79" s="510">
        <v>53195.874219999969</v>
      </c>
      <c r="M79" s="510">
        <v>10867.3424195555</v>
      </c>
      <c r="N79" s="510">
        <v>29864915.20025</v>
      </c>
      <c r="O79" s="510">
        <v>1472.6809036</v>
      </c>
      <c r="P79" s="510">
        <v>1027.0848578200012</v>
      </c>
      <c r="Q79" s="510">
        <v>730</v>
      </c>
      <c r="R79" s="510">
        <v>3613015228.32096</v>
      </c>
      <c r="S79" s="510">
        <v>75.317377840000006</v>
      </c>
      <c r="T79" s="510">
        <v>1770291.8849510001</v>
      </c>
      <c r="U79" s="510">
        <v>637618.44900000002</v>
      </c>
      <c r="V79" s="510">
        <v>0</v>
      </c>
      <c r="W79" s="510">
        <v>1247197.0461560001</v>
      </c>
      <c r="X79" s="510">
        <v>37513666.245999999</v>
      </c>
      <c r="Y79" s="510">
        <v>265939492</v>
      </c>
      <c r="Z79" s="510">
        <v>3474387.8946199953</v>
      </c>
      <c r="AA79" s="510">
        <v>35101063</v>
      </c>
      <c r="AB79" s="510">
        <v>388757</v>
      </c>
      <c r="AC79" s="510">
        <v>311899.13819799997</v>
      </c>
      <c r="AD79" s="510">
        <v>16784164.955995817</v>
      </c>
      <c r="AE79" s="510">
        <v>2164511.4275693297</v>
      </c>
      <c r="AF79" s="510">
        <v>6832461.8849683004</v>
      </c>
      <c r="AG79" s="510">
        <v>14890.182510000001</v>
      </c>
      <c r="AH79" s="510">
        <v>0</v>
      </c>
      <c r="AI79" s="510">
        <v>1746992</v>
      </c>
      <c r="AJ79" s="510">
        <v>20276840</v>
      </c>
      <c r="AK79" s="510">
        <v>283939.18247289752</v>
      </c>
      <c r="AL79" s="510">
        <v>2420665</v>
      </c>
      <c r="AM79" s="510">
        <v>825473</v>
      </c>
      <c r="AN79" s="510">
        <v>866305475.66999996</v>
      </c>
      <c r="AO79" s="510">
        <v>8967719140</v>
      </c>
      <c r="AP79" s="510">
        <v>58866</v>
      </c>
    </row>
    <row r="80" spans="1:42" ht="15" customHeight="1" x14ac:dyDescent="0.25">
      <c r="A80" s="8">
        <v>90</v>
      </c>
      <c r="B80" s="21" t="s">
        <v>153</v>
      </c>
      <c r="C80" s="15" t="s">
        <v>154</v>
      </c>
      <c r="D80" s="257"/>
      <c r="E80" s="507" t="s">
        <v>139</v>
      </c>
      <c r="F80" s="505" t="s">
        <v>387</v>
      </c>
      <c r="G80" s="510">
        <v>6340847220.9886503</v>
      </c>
      <c r="H80" s="510">
        <v>3293610394</v>
      </c>
      <c r="I80" s="510">
        <v>2395277</v>
      </c>
      <c r="J80" s="510">
        <v>1140902596.87233</v>
      </c>
      <c r="K80" s="510">
        <v>2700432164</v>
      </c>
      <c r="L80" s="510">
        <v>1748085506.25246</v>
      </c>
      <c r="M80" s="510">
        <v>4509986.4779415093</v>
      </c>
      <c r="N80" s="510">
        <v>1501367892.87257</v>
      </c>
      <c r="O80" s="510">
        <v>1157314.9483851199</v>
      </c>
      <c r="P80" s="510">
        <v>3647059.6844859603</v>
      </c>
      <c r="Q80" s="510">
        <v>143396</v>
      </c>
      <c r="R80" s="510">
        <v>28459146561.704254</v>
      </c>
      <c r="S80" s="510">
        <v>11289424.522501511</v>
      </c>
      <c r="T80" s="510">
        <v>8058994.3842077721</v>
      </c>
      <c r="U80" s="510">
        <v>4369971812.0792818</v>
      </c>
      <c r="V80" s="510">
        <v>442322204</v>
      </c>
      <c r="W80" s="510">
        <v>15753181.816285999</v>
      </c>
      <c r="X80" s="510">
        <v>7850709166.4659996</v>
      </c>
      <c r="Y80" s="510">
        <v>362466947298</v>
      </c>
      <c r="Z80" s="510">
        <v>4259431640.5719237</v>
      </c>
      <c r="AA80" s="510">
        <v>163889330</v>
      </c>
      <c r="AB80" s="510">
        <v>5264047</v>
      </c>
      <c r="AC80" s="510">
        <v>4922349.4584901202</v>
      </c>
      <c r="AD80" s="510">
        <v>1610914.1709633202</v>
      </c>
      <c r="AE80" s="510">
        <v>6347326.7123841904</v>
      </c>
      <c r="AF80" s="510">
        <v>10748296.305392411</v>
      </c>
      <c r="AG80" s="510">
        <v>5662935.9919299996</v>
      </c>
      <c r="AH80" s="510">
        <v>89307.823734800055</v>
      </c>
      <c r="AI80" s="510">
        <v>6779317</v>
      </c>
      <c r="AJ80" s="510">
        <v>1769597900.18837</v>
      </c>
      <c r="AK80" s="510">
        <v>18924065.940065663</v>
      </c>
      <c r="AL80" s="510">
        <v>65039888.053407431</v>
      </c>
      <c r="AM80" s="510">
        <v>3674208046.9244599</v>
      </c>
      <c r="AN80" s="510">
        <v>1599992124460.28</v>
      </c>
      <c r="AO80" s="510">
        <v>2495868000000</v>
      </c>
      <c r="AP80" s="510">
        <v>772735949</v>
      </c>
    </row>
    <row r="81" spans="1:42" ht="15" customHeight="1" x14ac:dyDescent="0.25">
      <c r="A81" s="8">
        <v>91</v>
      </c>
      <c r="B81" s="21" t="s">
        <v>156</v>
      </c>
      <c r="C81" s="15" t="s">
        <v>157</v>
      </c>
      <c r="D81" s="258"/>
      <c r="E81" s="507" t="s">
        <v>139</v>
      </c>
      <c r="F81" s="505" t="s">
        <v>388</v>
      </c>
      <c r="G81" s="510">
        <v>463121043.94770998</v>
      </c>
      <c r="H81" s="510">
        <v>302430260</v>
      </c>
      <c r="I81" s="510">
        <v>1517070</v>
      </c>
      <c r="J81" s="510">
        <v>83969297.415089995</v>
      </c>
      <c r="K81" s="510">
        <v>221045752</v>
      </c>
      <c r="L81" s="510">
        <v>33798737.867320001</v>
      </c>
      <c r="M81" s="510">
        <v>657408.16188701405</v>
      </c>
      <c r="N81" s="510">
        <v>53516977.78751</v>
      </c>
      <c r="O81" s="510">
        <v>113561.92463308001</v>
      </c>
      <c r="P81" s="510">
        <v>50918.245214960021</v>
      </c>
      <c r="Q81" s="510">
        <v>32541</v>
      </c>
      <c r="R81" s="510">
        <v>1891624888.8542809</v>
      </c>
      <c r="S81" s="510">
        <v>1978235.9684443497</v>
      </c>
      <c r="T81" s="510">
        <v>1652506.3432942</v>
      </c>
      <c r="U81" s="510">
        <v>166024050.845</v>
      </c>
      <c r="V81" s="510">
        <v>0</v>
      </c>
      <c r="W81" s="510">
        <v>1527136.639405</v>
      </c>
      <c r="X81" s="510">
        <v>98149522.427000001</v>
      </c>
      <c r="Y81" s="510">
        <v>15965385455</v>
      </c>
      <c r="Z81" s="510">
        <v>191873725.26470008</v>
      </c>
      <c r="AA81" s="510">
        <v>23436358</v>
      </c>
      <c r="AB81" s="510">
        <v>3351721</v>
      </c>
      <c r="AC81" s="510">
        <v>2081636.8478600101</v>
      </c>
      <c r="AD81" s="510">
        <v>626669.92937137</v>
      </c>
      <c r="AE81" s="510">
        <v>8965149.4413800035</v>
      </c>
      <c r="AF81" s="510">
        <v>16239599.639081139</v>
      </c>
      <c r="AG81" s="510">
        <v>5037067.9805070003</v>
      </c>
      <c r="AH81" s="510">
        <v>696114.73310932727</v>
      </c>
      <c r="AI81" s="510">
        <v>19230405</v>
      </c>
      <c r="AJ81" s="510">
        <v>263601976.86851943</v>
      </c>
      <c r="AK81" s="510">
        <v>794683.50877277518</v>
      </c>
      <c r="AL81" s="510">
        <v>3202564.6812637825</v>
      </c>
      <c r="AM81" s="510">
        <v>52713572.440860003</v>
      </c>
      <c r="AN81" s="510">
        <v>60482839451.660004</v>
      </c>
      <c r="AO81" s="510">
        <v>308555440518</v>
      </c>
      <c r="AP81" s="510">
        <v>159646058</v>
      </c>
    </row>
    <row r="82" spans="1:42" ht="15" customHeight="1" x14ac:dyDescent="0.25">
      <c r="A82" s="8">
        <v>92</v>
      </c>
      <c r="B82" s="21" t="s">
        <v>159</v>
      </c>
      <c r="C82" s="15" t="s">
        <v>160</v>
      </c>
      <c r="D82" s="259"/>
      <c r="E82" s="507" t="s">
        <v>139</v>
      </c>
      <c r="F82" s="505" t="s">
        <v>389</v>
      </c>
      <c r="G82" s="510">
        <v>30585450.469700001</v>
      </c>
      <c r="H82" s="510">
        <v>72650022</v>
      </c>
      <c r="I82" s="510">
        <v>288996</v>
      </c>
      <c r="J82" s="510">
        <v>116057785.00842999</v>
      </c>
      <c r="K82" s="510">
        <v>582590727</v>
      </c>
      <c r="L82" s="510">
        <v>664237.43221999996</v>
      </c>
      <c r="M82" s="510">
        <v>506843.99461835698</v>
      </c>
      <c r="N82" s="510">
        <v>27669078.06103</v>
      </c>
      <c r="O82" s="510">
        <v>116460.15665762</v>
      </c>
      <c r="P82" s="510">
        <v>536477.04383281001</v>
      </c>
      <c r="Q82" s="510">
        <v>1192</v>
      </c>
      <c r="R82" s="510">
        <v>2353905819.6974168</v>
      </c>
      <c r="S82" s="510">
        <v>1467680.9483304399</v>
      </c>
      <c r="T82" s="510">
        <v>2525416.0669436101</v>
      </c>
      <c r="U82" s="510">
        <v>19124156.931000002</v>
      </c>
      <c r="V82" s="510">
        <v>0</v>
      </c>
      <c r="W82" s="510">
        <v>1801891.7284329999</v>
      </c>
      <c r="X82" s="510">
        <v>219416535.208</v>
      </c>
      <c r="Y82" s="510">
        <v>20374621259</v>
      </c>
      <c r="Z82" s="510">
        <v>31646783.381420042</v>
      </c>
      <c r="AA82" s="510">
        <v>163015102</v>
      </c>
      <c r="AB82" s="510">
        <v>2089891</v>
      </c>
      <c r="AC82" s="510">
        <v>4865727.3267980004</v>
      </c>
      <c r="AD82" s="510">
        <v>18491462.69912247</v>
      </c>
      <c r="AE82" s="510">
        <v>3843110.1973971985</v>
      </c>
      <c r="AF82" s="510">
        <v>24562420.145730738</v>
      </c>
      <c r="AG82" s="510">
        <v>145026.61760100001</v>
      </c>
      <c r="AH82" s="510">
        <v>10.3565127</v>
      </c>
      <c r="AI82" s="510">
        <v>4490031</v>
      </c>
      <c r="AJ82" s="510">
        <v>14675362.759</v>
      </c>
      <c r="AK82" s="510">
        <v>189052.84306213999</v>
      </c>
      <c r="AL82" s="510">
        <v>1646768.5292178923</v>
      </c>
      <c r="AM82" s="510">
        <v>103645891</v>
      </c>
      <c r="AN82" s="510">
        <v>15112940902.940001</v>
      </c>
      <c r="AO82" s="510">
        <v>29721033218</v>
      </c>
      <c r="AP82" s="510">
        <v>2353950</v>
      </c>
    </row>
    <row r="83" spans="1:42" ht="15" customHeight="1" x14ac:dyDescent="0.25">
      <c r="A83" s="8">
        <v>93</v>
      </c>
      <c r="B83" s="21" t="s">
        <v>162</v>
      </c>
      <c r="C83" s="15" t="s">
        <v>163</v>
      </c>
      <c r="D83" s="260"/>
      <c r="E83" s="507" t="s">
        <v>139</v>
      </c>
      <c r="F83" s="505" t="s">
        <v>390</v>
      </c>
      <c r="G83" s="510">
        <v>7370612.3278700002</v>
      </c>
      <c r="H83" s="510">
        <v>1523246</v>
      </c>
      <c r="I83" s="510">
        <v>12038</v>
      </c>
      <c r="J83" s="510">
        <v>21273893.880540002</v>
      </c>
      <c r="K83" s="510">
        <v>42185</v>
      </c>
      <c r="L83" s="510">
        <v>177930.11765000003</v>
      </c>
      <c r="M83" s="510">
        <v>1461.14211532083</v>
      </c>
      <c r="N83" s="510">
        <v>17292887.46339</v>
      </c>
      <c r="O83" s="510">
        <v>7297.1816060000001</v>
      </c>
      <c r="P83" s="510">
        <v>201.74523381</v>
      </c>
      <c r="Q83" s="510">
        <v>3175</v>
      </c>
      <c r="R83" s="510">
        <v>25565640.118627101</v>
      </c>
      <c r="S83" s="510">
        <v>487.94938789999998</v>
      </c>
      <c r="T83" s="510">
        <v>512.79986717999998</v>
      </c>
      <c r="U83" s="510">
        <v>337601.85800000001</v>
      </c>
      <c r="V83" s="510">
        <v>0</v>
      </c>
      <c r="W83" s="510">
        <v>121251.548272</v>
      </c>
      <c r="X83" s="510">
        <v>6660028.3959999997</v>
      </c>
      <c r="Y83" s="510">
        <v>138285374</v>
      </c>
      <c r="Z83" s="510">
        <v>12658774.254439998</v>
      </c>
      <c r="AA83" s="510">
        <v>116917</v>
      </c>
      <c r="AB83" s="510">
        <v>28858</v>
      </c>
      <c r="AC83" s="510">
        <v>145891.89075399999</v>
      </c>
      <c r="AD83" s="510">
        <v>28885531.51257832</v>
      </c>
      <c r="AE83" s="510">
        <v>2845285.5137695568</v>
      </c>
      <c r="AF83" s="510">
        <v>16377495.752621559</v>
      </c>
      <c r="AG83" s="510">
        <v>8447.8092930000003</v>
      </c>
      <c r="AH83" s="510">
        <v>146.33178894999998</v>
      </c>
      <c r="AI83" s="510">
        <v>2469253</v>
      </c>
      <c r="AJ83" s="510">
        <v>86194</v>
      </c>
      <c r="AK83" s="510">
        <v>6025.1111000000001</v>
      </c>
      <c r="AL83" s="510">
        <v>30398947</v>
      </c>
      <c r="AM83" s="510">
        <v>13842746</v>
      </c>
      <c r="AN83" s="510">
        <v>972964624.92999995</v>
      </c>
      <c r="AO83" s="510">
        <v>1037981649</v>
      </c>
      <c r="AP83" s="510">
        <v>5980573</v>
      </c>
    </row>
    <row r="84" spans="1:42" ht="15" customHeight="1" x14ac:dyDescent="0.25">
      <c r="A84" s="8">
        <v>94</v>
      </c>
      <c r="B84" s="21" t="s">
        <v>165</v>
      </c>
      <c r="C84" s="15" t="s">
        <v>166</v>
      </c>
      <c r="D84" s="261"/>
      <c r="E84" s="507" t="s">
        <v>139</v>
      </c>
      <c r="F84" s="505" t="s">
        <v>391</v>
      </c>
      <c r="G84" s="510">
        <v>2618649220.3749099</v>
      </c>
      <c r="H84" s="510">
        <v>3091731963</v>
      </c>
      <c r="I84" s="510">
        <v>19385160</v>
      </c>
      <c r="J84" s="510">
        <v>5927271241.2070894</v>
      </c>
      <c r="K84" s="510">
        <v>2798756649</v>
      </c>
      <c r="L84" s="510">
        <v>3704491179.829</v>
      </c>
      <c r="M84" s="510">
        <v>7069474.5695467694</v>
      </c>
      <c r="N84" s="510">
        <v>1239399931.9219999</v>
      </c>
      <c r="O84" s="510">
        <v>4882740.7536300002</v>
      </c>
      <c r="P84" s="510">
        <v>2163362.4289120003</v>
      </c>
      <c r="Q84" s="510">
        <v>158484</v>
      </c>
      <c r="R84" s="510">
        <v>236074410649.89865</v>
      </c>
      <c r="S84" s="510">
        <v>133519903.281859</v>
      </c>
      <c r="T84" s="510">
        <v>146694753.76648799</v>
      </c>
      <c r="U84" s="510">
        <v>3021665859.6360002</v>
      </c>
      <c r="V84" s="510">
        <v>5788140.9481797209</v>
      </c>
      <c r="W84" s="510">
        <v>184760716.25258401</v>
      </c>
      <c r="X84" s="510">
        <v>5931477132.2180004</v>
      </c>
      <c r="Y84" s="510">
        <v>38326500402</v>
      </c>
      <c r="Z84" s="510">
        <v>11281224293.737328</v>
      </c>
      <c r="AA84" s="510">
        <v>1040849287</v>
      </c>
      <c r="AB84" s="510">
        <v>205267163</v>
      </c>
      <c r="AC84" s="510">
        <v>85985674.721331</v>
      </c>
      <c r="AD84" s="510">
        <v>14194749.621634999</v>
      </c>
      <c r="AE84" s="510">
        <v>557187063.17266524</v>
      </c>
      <c r="AF84" s="510">
        <v>156974330.209223</v>
      </c>
      <c r="AG84" s="510">
        <v>11563135.512205999</v>
      </c>
      <c r="AH84" s="510">
        <v>2059.7090740799999</v>
      </c>
      <c r="AI84" s="510">
        <v>114145429</v>
      </c>
      <c r="AJ84" s="510">
        <v>2553762408.5164013</v>
      </c>
      <c r="AK84" s="510">
        <v>12279374.648266653</v>
      </c>
      <c r="AL84" s="510">
        <v>135463447.42523158</v>
      </c>
      <c r="AM84" s="510">
        <v>4035474518.2857599</v>
      </c>
      <c r="AN84" s="510">
        <v>1594009471714</v>
      </c>
      <c r="AO84" s="510">
        <v>3495609584277</v>
      </c>
      <c r="AP84" s="510">
        <v>991053363</v>
      </c>
    </row>
    <row r="85" spans="1:42" ht="15" customHeight="1" x14ac:dyDescent="0.25">
      <c r="A85" s="8">
        <v>95</v>
      </c>
      <c r="B85" s="21" t="s">
        <v>168</v>
      </c>
      <c r="C85" s="15" t="s">
        <v>169</v>
      </c>
      <c r="D85" s="262"/>
      <c r="E85" s="507" t="s">
        <v>139</v>
      </c>
      <c r="F85" s="505" t="s">
        <v>392</v>
      </c>
      <c r="G85" s="510">
        <v>1862650416.8066201</v>
      </c>
      <c r="H85" s="510">
        <v>28585439538</v>
      </c>
      <c r="I85" s="510">
        <v>17463798</v>
      </c>
      <c r="J85" s="510">
        <v>26928430608.951187</v>
      </c>
      <c r="K85" s="510">
        <v>61790673</v>
      </c>
      <c r="L85" s="510">
        <v>10248726.172040001</v>
      </c>
      <c r="M85" s="510">
        <v>133025.817466665</v>
      </c>
      <c r="N85" s="510">
        <v>6795433381.8218699</v>
      </c>
      <c r="O85" s="510">
        <v>310993.29770887998</v>
      </c>
      <c r="P85" s="510">
        <v>45957.324928229995</v>
      </c>
      <c r="Q85" s="510">
        <v>500971</v>
      </c>
      <c r="R85" s="510">
        <v>1442363077.7521329</v>
      </c>
      <c r="S85" s="510">
        <v>1238716.1346859699</v>
      </c>
      <c r="T85" s="510">
        <v>742849.97768868995</v>
      </c>
      <c r="U85" s="510">
        <v>25674657.752</v>
      </c>
      <c r="V85" s="510">
        <v>865760.34331950825</v>
      </c>
      <c r="W85" s="510">
        <v>886143.69464999996</v>
      </c>
      <c r="X85" s="510">
        <v>103296472.609</v>
      </c>
      <c r="Y85" s="510">
        <v>216645139</v>
      </c>
      <c r="Z85" s="510">
        <v>255674078.06519002</v>
      </c>
      <c r="AA85" s="510">
        <v>5947945</v>
      </c>
      <c r="AB85" s="510">
        <v>1621593</v>
      </c>
      <c r="AC85" s="510">
        <v>1429336.99855169</v>
      </c>
      <c r="AD85" s="510">
        <v>441097.52108777198</v>
      </c>
      <c r="AE85" s="510">
        <v>2339591.8915820499</v>
      </c>
      <c r="AF85" s="510">
        <v>2498290.7618322899</v>
      </c>
      <c r="AG85" s="510">
        <v>1210372.1631219999</v>
      </c>
      <c r="AH85" s="510">
        <v>47.771670380000003</v>
      </c>
      <c r="AI85" s="510">
        <v>2791256</v>
      </c>
      <c r="AJ85" s="510">
        <v>54978475.823281474</v>
      </c>
      <c r="AK85" s="510">
        <v>268417.96763438999</v>
      </c>
      <c r="AL85" s="510">
        <v>1114944.8406371907</v>
      </c>
      <c r="AM85" s="510">
        <v>35484736.523999996</v>
      </c>
      <c r="AN85" s="510">
        <v>69982272561.979996</v>
      </c>
      <c r="AO85" s="510">
        <v>49040047685</v>
      </c>
      <c r="AP85" s="510">
        <v>56260780</v>
      </c>
    </row>
    <row r="86" spans="1:42" ht="15" customHeight="1" x14ac:dyDescent="0.25">
      <c r="A86" s="8">
        <v>96</v>
      </c>
      <c r="B86" s="21" t="s">
        <v>171</v>
      </c>
      <c r="C86" s="15" t="s">
        <v>172</v>
      </c>
      <c r="D86" s="263"/>
      <c r="E86" s="507" t="s">
        <v>139</v>
      </c>
      <c r="F86" s="505" t="s">
        <v>393</v>
      </c>
      <c r="G86" s="510">
        <v>9289446640.1396694</v>
      </c>
      <c r="H86" s="510">
        <v>8066211530</v>
      </c>
      <c r="I86" s="510">
        <v>8537026</v>
      </c>
      <c r="J86" s="510">
        <v>1397696847.3473401</v>
      </c>
      <c r="K86" s="510">
        <v>3795550507</v>
      </c>
      <c r="L86" s="510">
        <v>697932530.94289076</v>
      </c>
      <c r="M86" s="510">
        <v>7385106.4809870599</v>
      </c>
      <c r="N86" s="510">
        <v>964068292.25244999</v>
      </c>
      <c r="O86" s="510">
        <v>5233239.6684239795</v>
      </c>
      <c r="P86" s="510">
        <v>407963.08955456998</v>
      </c>
      <c r="Q86" s="510">
        <v>63434</v>
      </c>
      <c r="R86" s="510">
        <v>19390161886.533722</v>
      </c>
      <c r="S86" s="510">
        <v>10580749.093354702</v>
      </c>
      <c r="T86" s="510">
        <v>10358743.995014349</v>
      </c>
      <c r="U86" s="510">
        <v>806757408.64300001</v>
      </c>
      <c r="V86" s="510">
        <v>440205.67290357483</v>
      </c>
      <c r="W86" s="510">
        <v>4240533.7158460002</v>
      </c>
      <c r="X86" s="510">
        <v>3131139388.1230001</v>
      </c>
      <c r="Y86" s="510">
        <v>530136793684</v>
      </c>
      <c r="Z86" s="510">
        <v>2853172239.6734891</v>
      </c>
      <c r="AA86" s="510">
        <v>449104358</v>
      </c>
      <c r="AB86" s="510">
        <v>8929416</v>
      </c>
      <c r="AC86" s="510">
        <v>10991694.4654999</v>
      </c>
      <c r="AD86" s="510">
        <v>9447607.5533418749</v>
      </c>
      <c r="AE86" s="510">
        <v>17348454.815908801</v>
      </c>
      <c r="AF86" s="510">
        <v>28253820.533108953</v>
      </c>
      <c r="AG86" s="510">
        <v>23484612.573715001</v>
      </c>
      <c r="AH86" s="510">
        <v>124435.70850074005</v>
      </c>
      <c r="AI86" s="510">
        <v>17865137</v>
      </c>
      <c r="AJ86" s="510">
        <v>667970677.29098189</v>
      </c>
      <c r="AK86" s="510">
        <v>9591113.5306711644</v>
      </c>
      <c r="AL86" s="510">
        <v>123803220.63482077</v>
      </c>
      <c r="AM86" s="510">
        <v>271747260.00406003</v>
      </c>
      <c r="AN86" s="510">
        <v>391643306130.27002</v>
      </c>
      <c r="AO86" s="510">
        <v>2161397421249</v>
      </c>
      <c r="AP86" s="510">
        <v>5078865578</v>
      </c>
    </row>
    <row r="87" spans="1:42" ht="15" customHeight="1" x14ac:dyDescent="0.25">
      <c r="A87" s="8">
        <v>100</v>
      </c>
      <c r="B87" s="564" t="s">
        <v>177</v>
      </c>
      <c r="C87" s="565"/>
      <c r="D87" s="566"/>
      <c r="E87" s="508" t="s">
        <v>139</v>
      </c>
      <c r="F87" s="490" t="s">
        <v>178</v>
      </c>
      <c r="G87" s="510">
        <v>110776053229.45444</v>
      </c>
      <c r="H87" s="510">
        <v>114442847802.36523</v>
      </c>
      <c r="I87" s="510">
        <v>13532755.093936101</v>
      </c>
      <c r="J87" s="510">
        <v>48093477674.19046</v>
      </c>
      <c r="K87" s="510">
        <v>6048306380.2728519</v>
      </c>
      <c r="L87" s="510">
        <v>2376029277.4501104</v>
      </c>
      <c r="M87" s="510">
        <v>11527072.658070989</v>
      </c>
      <c r="N87" s="510">
        <v>26958467157.127235</v>
      </c>
      <c r="O87" s="510">
        <v>5888810.952071025</v>
      </c>
      <c r="P87" s="510">
        <v>4124870.8889150168</v>
      </c>
      <c r="Q87" s="510">
        <v>2166226.7564471248</v>
      </c>
      <c r="R87" s="510">
        <v>49556784210.087875</v>
      </c>
      <c r="S87" s="510">
        <v>24395138.554522105</v>
      </c>
      <c r="T87" s="510">
        <v>20175277</v>
      </c>
      <c r="U87" s="510">
        <v>5347472259.4455338</v>
      </c>
      <c r="V87" s="510">
        <v>442880090</v>
      </c>
      <c r="W87" s="510">
        <v>23531908.421071917</v>
      </c>
      <c r="X87" s="510">
        <v>10485571558.60276</v>
      </c>
      <c r="Y87" s="510">
        <v>784561171137.62207</v>
      </c>
      <c r="Z87" s="510">
        <v>6969024152.1668797</v>
      </c>
      <c r="AA87" s="510">
        <v>574979281.40841162</v>
      </c>
      <c r="AB87" s="510">
        <v>19088070.55060555</v>
      </c>
      <c r="AC87" s="510">
        <v>18966425.467164461</v>
      </c>
      <c r="AD87" s="510">
        <v>19612434.027652793</v>
      </c>
      <c r="AE87" s="510">
        <v>32608085.179174617</v>
      </c>
      <c r="AF87" s="510">
        <v>78018700.363635644</v>
      </c>
      <c r="AG87" s="510">
        <v>26851491.713282168</v>
      </c>
      <c r="AH87" s="510">
        <v>851672.66209216486</v>
      </c>
      <c r="AI87" s="510">
        <v>39556477.89367754</v>
      </c>
      <c r="AJ87" s="510">
        <v>2694467213.2430644</v>
      </c>
      <c r="AK87" s="510">
        <v>27556575.86131496</v>
      </c>
      <c r="AL87" s="510">
        <v>164892429.8037473</v>
      </c>
      <c r="AM87" s="510">
        <v>4100120248.8901482</v>
      </c>
      <c r="AN87" s="510">
        <v>2116724614120.2317</v>
      </c>
      <c r="AO87" s="510">
        <v>4615120843874.8789</v>
      </c>
      <c r="AP87" s="510">
        <v>4901116048.4523478</v>
      </c>
    </row>
    <row r="88" spans="1:42" ht="15" customHeight="1" x14ac:dyDescent="0.25">
      <c r="A88" s="8">
        <v>101</v>
      </c>
      <c r="B88" s="518" t="s">
        <v>180</v>
      </c>
      <c r="C88" s="519"/>
      <c r="D88" s="519"/>
      <c r="E88" s="499"/>
      <c r="F88" s="490" t="s">
        <v>181</v>
      </c>
      <c r="G88" s="510">
        <v>1149000000</v>
      </c>
      <c r="H88" s="510">
        <v>1538000000</v>
      </c>
      <c r="I88" s="510">
        <v>627942</v>
      </c>
      <c r="J88" s="510">
        <v>5958000000</v>
      </c>
      <c r="K88" s="510">
        <v>573882175</v>
      </c>
      <c r="L88" s="510">
        <v>107207714.34506001</v>
      </c>
      <c r="M88" s="510">
        <v>874230.26794899709</v>
      </c>
      <c r="N88" s="510">
        <v>1503939448</v>
      </c>
      <c r="O88" s="510">
        <v>214340</v>
      </c>
      <c r="P88" s="510">
        <v>210419.52000000002</v>
      </c>
      <c r="Q88" s="510">
        <v>586675</v>
      </c>
      <c r="R88" s="510">
        <v>4181078260.9963546</v>
      </c>
      <c r="S88" s="510">
        <v>80900</v>
      </c>
      <c r="T88" s="510">
        <v>2254000</v>
      </c>
      <c r="U88" s="510">
        <v>269863000</v>
      </c>
      <c r="V88" s="510">
        <v>135100000</v>
      </c>
      <c r="W88" s="510">
        <v>3545000</v>
      </c>
      <c r="X88" s="510">
        <v>579084000</v>
      </c>
      <c r="Y88" s="510">
        <v>117544511000</v>
      </c>
      <c r="Z88" s="510">
        <v>504908152</v>
      </c>
      <c r="AA88" s="510">
        <v>112395912</v>
      </c>
      <c r="AB88" s="510">
        <v>172406</v>
      </c>
      <c r="AC88" s="510">
        <v>8237</v>
      </c>
      <c r="AD88" s="510">
        <v>810803.88300000003</v>
      </c>
      <c r="AE88" s="510">
        <v>196966.4131706155</v>
      </c>
      <c r="AF88" s="510">
        <v>6193539.0852100067</v>
      </c>
      <c r="AG88" s="510">
        <v>10176.448215799999</v>
      </c>
      <c r="AH88" s="510">
        <v>0</v>
      </c>
      <c r="AI88" s="510">
        <v>51287</v>
      </c>
      <c r="AJ88" s="510">
        <v>85168140</v>
      </c>
      <c r="AK88" s="510">
        <v>192435.52185709</v>
      </c>
      <c r="AL88" s="510">
        <v>3114659.9517211849</v>
      </c>
      <c r="AM88" s="510">
        <v>525145299</v>
      </c>
      <c r="AN88" s="510">
        <v>120200000000</v>
      </c>
      <c r="AO88" s="510">
        <v>220710542185.79999</v>
      </c>
      <c r="AP88" s="510">
        <v>61635539</v>
      </c>
    </row>
    <row r="89" spans="1:42" ht="15" customHeight="1" x14ac:dyDescent="0.25">
      <c r="A89" s="8">
        <v>102</v>
      </c>
      <c r="B89" s="19" t="s">
        <v>183</v>
      </c>
      <c r="C89" s="29"/>
      <c r="D89" s="30"/>
      <c r="E89" s="499"/>
      <c r="F89" s="490" t="s">
        <v>184</v>
      </c>
      <c r="G89" s="510">
        <v>878500</v>
      </c>
      <c r="H89" s="510">
        <v>318261</v>
      </c>
      <c r="I89" s="510">
        <v>3</v>
      </c>
      <c r="J89" s="510">
        <v>34030107.339549996</v>
      </c>
      <c r="K89" s="510">
        <v>405571</v>
      </c>
      <c r="L89" s="510">
        <v>0</v>
      </c>
      <c r="M89" s="510">
        <v>25370.818690836546</v>
      </c>
      <c r="N89" s="510">
        <v>310836</v>
      </c>
      <c r="O89" s="510">
        <v>0</v>
      </c>
      <c r="P89" s="510">
        <v>0</v>
      </c>
      <c r="Q89" s="510">
        <v>1481.2859065895002</v>
      </c>
      <c r="R89" s="510">
        <v>3727906.3021248817</v>
      </c>
      <c r="S89" s="510">
        <v>920</v>
      </c>
      <c r="T89" s="510">
        <v>2788.9783191936772</v>
      </c>
      <c r="U89" s="510">
        <v>20000</v>
      </c>
      <c r="V89" s="510">
        <v>0</v>
      </c>
      <c r="W89" s="510">
        <v>4158</v>
      </c>
      <c r="X89" s="510">
        <v>7395.6210000000001</v>
      </c>
      <c r="Y89" s="510">
        <v>13799999.999999998</v>
      </c>
      <c r="Z89" s="510">
        <v>2440722</v>
      </c>
      <c r="AA89" s="510">
        <v>882188</v>
      </c>
      <c r="AB89" s="510">
        <v>1526</v>
      </c>
      <c r="AC89" s="510">
        <v>399</v>
      </c>
      <c r="AD89" s="510">
        <v>2191</v>
      </c>
      <c r="AE89" s="510">
        <v>23714.713660580775</v>
      </c>
      <c r="AF89" s="510">
        <v>5772.4947016930992</v>
      </c>
      <c r="AG89" s="510">
        <v>0</v>
      </c>
      <c r="AH89" s="510">
        <v>0</v>
      </c>
      <c r="AI89" s="510">
        <v>124</v>
      </c>
      <c r="AJ89" s="510">
        <v>0</v>
      </c>
      <c r="AK89" s="510">
        <v>1364</v>
      </c>
      <c r="AL89" s="510">
        <v>33109</v>
      </c>
      <c r="AM89" s="510">
        <v>8500</v>
      </c>
      <c r="AN89" s="510">
        <v>0</v>
      </c>
      <c r="AO89" s="510">
        <v>0</v>
      </c>
      <c r="AP89" s="510">
        <v>0</v>
      </c>
    </row>
    <row r="90" spans="1:42" ht="15" customHeight="1" x14ac:dyDescent="0.25">
      <c r="A90" s="8">
        <v>103</v>
      </c>
      <c r="B90" s="37" t="s">
        <v>185</v>
      </c>
      <c r="C90" s="38"/>
      <c r="D90" s="35"/>
      <c r="E90" s="499"/>
      <c r="F90" s="490" t="s">
        <v>186</v>
      </c>
      <c r="G90" s="510">
        <v>139671663</v>
      </c>
      <c r="H90" s="510">
        <v>0</v>
      </c>
      <c r="I90" s="510">
        <v>37230</v>
      </c>
      <c r="J90" s="510">
        <v>144473906.87349001</v>
      </c>
      <c r="K90" s="510">
        <v>25792208</v>
      </c>
      <c r="L90" s="510">
        <v>140000</v>
      </c>
      <c r="M90" s="510">
        <v>2060.8668263512118</v>
      </c>
      <c r="N90" s="510">
        <v>0</v>
      </c>
      <c r="O90" s="510">
        <v>69</v>
      </c>
      <c r="P90" s="510">
        <v>0</v>
      </c>
      <c r="Q90" s="510">
        <v>740122.19441254344</v>
      </c>
      <c r="R90" s="510">
        <v>185501887.69117165</v>
      </c>
      <c r="S90" s="510">
        <v>47593</v>
      </c>
      <c r="T90" s="510">
        <v>62571.184105576096</v>
      </c>
      <c r="U90" s="510">
        <v>1100000</v>
      </c>
      <c r="V90" s="510">
        <v>0</v>
      </c>
      <c r="W90" s="510">
        <v>73100.167379000006</v>
      </c>
      <c r="X90" s="510">
        <v>0</v>
      </c>
      <c r="Y90" s="510">
        <v>12424033000</v>
      </c>
      <c r="Z90" s="510">
        <v>60124000</v>
      </c>
      <c r="AA90" s="510">
        <v>3174068</v>
      </c>
      <c r="AB90" s="510">
        <v>25244</v>
      </c>
      <c r="AC90" s="510">
        <v>13596</v>
      </c>
      <c r="AD90" s="510">
        <v>119670</v>
      </c>
      <c r="AE90" s="510">
        <v>236916.36291436452</v>
      </c>
      <c r="AF90" s="510">
        <v>347086</v>
      </c>
      <c r="AG90" s="510">
        <v>10155</v>
      </c>
      <c r="AH90" s="510">
        <v>0</v>
      </c>
      <c r="AI90" s="510">
        <v>96119</v>
      </c>
      <c r="AJ90" s="510">
        <v>6952976.5024438454</v>
      </c>
      <c r="AK90" s="510">
        <v>24065</v>
      </c>
      <c r="AL90" s="510">
        <v>286403</v>
      </c>
      <c r="AM90" s="510">
        <v>17138000</v>
      </c>
      <c r="AN90" s="510">
        <v>8473000000</v>
      </c>
      <c r="AO90" s="510">
        <v>21621310000</v>
      </c>
      <c r="AP90" s="510">
        <v>9309330</v>
      </c>
    </row>
    <row r="91" spans="1:42" ht="15" customHeight="1" x14ac:dyDescent="0.25">
      <c r="A91" s="8">
        <v>104</v>
      </c>
      <c r="B91" s="518" t="s">
        <v>187</v>
      </c>
      <c r="C91" s="519"/>
      <c r="D91" s="519"/>
      <c r="E91" s="503" t="s">
        <v>17</v>
      </c>
      <c r="F91" s="490" t="s">
        <v>188</v>
      </c>
      <c r="G91" s="510">
        <v>140550163</v>
      </c>
      <c r="H91" s="510">
        <v>318261</v>
      </c>
      <c r="I91" s="510">
        <v>37233</v>
      </c>
      <c r="J91" s="510">
        <v>178504014.21303999</v>
      </c>
      <c r="K91" s="510">
        <v>26197779</v>
      </c>
      <c r="L91" s="510">
        <v>140000</v>
      </c>
      <c r="M91" s="510">
        <v>27431.685517187758</v>
      </c>
      <c r="N91" s="510">
        <v>310836</v>
      </c>
      <c r="O91" s="510">
        <v>69</v>
      </c>
      <c r="P91" s="510">
        <v>0</v>
      </c>
      <c r="Q91" s="510">
        <v>741603.48031913291</v>
      </c>
      <c r="R91" s="510">
        <v>189229793.99329653</v>
      </c>
      <c r="S91" s="510">
        <v>48513</v>
      </c>
      <c r="T91" s="510">
        <v>65360</v>
      </c>
      <c r="U91" s="510">
        <v>1120000</v>
      </c>
      <c r="V91" s="510">
        <v>0</v>
      </c>
      <c r="W91" s="510">
        <v>77258.167379000006</v>
      </c>
      <c r="X91" s="510">
        <v>7395.6210000000001</v>
      </c>
      <c r="Y91" s="510">
        <v>12437833000</v>
      </c>
      <c r="Z91" s="510">
        <v>62564722</v>
      </c>
      <c r="AA91" s="510">
        <v>4056256</v>
      </c>
      <c r="AB91" s="510">
        <v>26770</v>
      </c>
      <c r="AC91" s="510">
        <v>13995</v>
      </c>
      <c r="AD91" s="510">
        <v>121861</v>
      </c>
      <c r="AE91" s="510">
        <v>260631.0765749453</v>
      </c>
      <c r="AF91" s="510">
        <v>352858.49470169313</v>
      </c>
      <c r="AG91" s="510">
        <v>10155</v>
      </c>
      <c r="AH91" s="510">
        <v>0</v>
      </c>
      <c r="AI91" s="510">
        <v>96243</v>
      </c>
      <c r="AJ91" s="510">
        <v>6952976.5024438454</v>
      </c>
      <c r="AK91" s="510">
        <v>25429</v>
      </c>
      <c r="AL91" s="510">
        <v>319512</v>
      </c>
      <c r="AM91" s="510">
        <v>17146500</v>
      </c>
      <c r="AN91" s="510">
        <v>8473000000</v>
      </c>
      <c r="AO91" s="510">
        <v>21621310000</v>
      </c>
      <c r="AP91" s="510">
        <v>9309330</v>
      </c>
    </row>
    <row r="92" spans="1:42" ht="15" customHeight="1" x14ac:dyDescent="0.25">
      <c r="A92" s="8">
        <v>105</v>
      </c>
      <c r="B92" s="39" t="s">
        <v>190</v>
      </c>
      <c r="C92" s="20"/>
      <c r="D92" s="40"/>
      <c r="E92" s="499"/>
      <c r="F92" s="490" t="s">
        <v>191</v>
      </c>
      <c r="G92" s="510">
        <v>2422241</v>
      </c>
      <c r="H92" s="510">
        <v>736269856</v>
      </c>
      <c r="I92" s="510">
        <v>2905779</v>
      </c>
      <c r="J92" s="510">
        <v>4944151</v>
      </c>
      <c r="K92" s="510">
        <v>516270401.0140456</v>
      </c>
      <c r="L92" s="510">
        <v>90918771.835999995</v>
      </c>
      <c r="M92" s="510">
        <v>1295932</v>
      </c>
      <c r="N92" s="510">
        <v>3090375000</v>
      </c>
      <c r="O92" s="510">
        <v>7345.7733548499991</v>
      </c>
      <c r="P92" s="510">
        <v>34331.618926865005</v>
      </c>
      <c r="Q92" s="510">
        <v>29420296</v>
      </c>
      <c r="R92" s="510">
        <v>23462632200</v>
      </c>
      <c r="S92" s="510">
        <v>3481420</v>
      </c>
      <c r="T92" s="510">
        <v>4421638.8665082427</v>
      </c>
      <c r="U92" s="510">
        <v>37706</v>
      </c>
      <c r="V92" s="510">
        <v>0</v>
      </c>
      <c r="W92" s="510">
        <v>9819532.9984259997</v>
      </c>
      <c r="X92" s="510">
        <v>1164972935</v>
      </c>
      <c r="Y92" s="510">
        <v>169094085311.70001</v>
      </c>
      <c r="Z92" s="510">
        <v>113197088</v>
      </c>
      <c r="AA92" s="510">
        <v>2234000</v>
      </c>
      <c r="AB92" s="510">
        <v>1728308</v>
      </c>
      <c r="AC92" s="510">
        <v>1272646</v>
      </c>
      <c r="AD92" s="510">
        <v>905636</v>
      </c>
      <c r="AE92" s="510">
        <v>21855751</v>
      </c>
      <c r="AF92" s="510">
        <v>18875237.045740787</v>
      </c>
      <c r="AG92" s="510">
        <v>3897247.4096220001</v>
      </c>
      <c r="AH92" s="510">
        <v>30</v>
      </c>
      <c r="AI92" s="510">
        <v>22598790</v>
      </c>
      <c r="AJ92" s="510">
        <v>344086646</v>
      </c>
      <c r="AK92" s="510">
        <v>4564495</v>
      </c>
      <c r="AL92" s="510">
        <v>24821017.340278085</v>
      </c>
      <c r="AM92" s="510">
        <v>209576082</v>
      </c>
      <c r="AN92" s="510">
        <v>124335180254.34846</v>
      </c>
      <c r="AO92" s="510">
        <v>488772164234.36102</v>
      </c>
      <c r="AP92" s="510">
        <v>51618</v>
      </c>
    </row>
    <row r="93" spans="1:42" ht="15" customHeight="1" x14ac:dyDescent="0.25">
      <c r="A93" s="8">
        <v>106</v>
      </c>
      <c r="B93" s="37" t="s">
        <v>192</v>
      </c>
      <c r="C93" s="38"/>
      <c r="D93" s="35"/>
      <c r="E93" s="499"/>
      <c r="F93" s="490" t="s">
        <v>193</v>
      </c>
      <c r="G93" s="510">
        <v>5973808653.2841902</v>
      </c>
      <c r="H93" s="510">
        <v>7141955547</v>
      </c>
      <c r="I93" s="510">
        <v>3131871</v>
      </c>
      <c r="J93" s="510">
        <v>12328669620</v>
      </c>
      <c r="K93" s="510">
        <v>1293636872.6843948</v>
      </c>
      <c r="L93" s="510">
        <v>337214308.1601941</v>
      </c>
      <c r="M93" s="510">
        <v>2519140</v>
      </c>
      <c r="N93" s="510">
        <v>9607135373.8649807</v>
      </c>
      <c r="O93" s="510">
        <v>252515.22664514999</v>
      </c>
      <c r="P93" s="510">
        <v>414364.35876491101</v>
      </c>
      <c r="Q93" s="510">
        <v>17815099</v>
      </c>
      <c r="R93" s="510">
        <v>15641754800</v>
      </c>
      <c r="S93" s="510">
        <v>7039708</v>
      </c>
      <c r="T93" s="510">
        <v>9395982.591330016</v>
      </c>
      <c r="U93" s="510">
        <v>658457960</v>
      </c>
      <c r="V93" s="510">
        <v>40567942</v>
      </c>
      <c r="W93" s="510">
        <v>8453336.0952599999</v>
      </c>
      <c r="X93" s="510">
        <v>1428398600</v>
      </c>
      <c r="Y93" s="510">
        <v>163225905820.44751</v>
      </c>
      <c r="Z93" s="510">
        <v>2591355428</v>
      </c>
      <c r="AA93" s="510">
        <v>944768000</v>
      </c>
      <c r="AB93" s="510">
        <v>1717477</v>
      </c>
      <c r="AC93" s="510">
        <v>1548481</v>
      </c>
      <c r="AD93" s="510">
        <v>4569590</v>
      </c>
      <c r="AE93" s="510">
        <v>18365517</v>
      </c>
      <c r="AF93" s="510">
        <v>13929329.198159054</v>
      </c>
      <c r="AG93" s="510">
        <v>1342477.3879387297</v>
      </c>
      <c r="AH93" s="510">
        <v>112370</v>
      </c>
      <c r="AI93" s="510">
        <v>15581226</v>
      </c>
      <c r="AJ93" s="510">
        <v>1081439085.2519357</v>
      </c>
      <c r="AK93" s="510">
        <v>2730257</v>
      </c>
      <c r="AL93" s="510">
        <v>24757989.097039461</v>
      </c>
      <c r="AM93" s="510">
        <v>761005604</v>
      </c>
      <c r="AN93" s="510">
        <v>422483106927.56152</v>
      </c>
      <c r="AO93" s="510">
        <v>739800734245.16931</v>
      </c>
      <c r="AP93" s="510">
        <v>314865570</v>
      </c>
    </row>
    <row r="94" spans="1:42" ht="15" customHeight="1" x14ac:dyDescent="0.25">
      <c r="A94" s="8">
        <v>107</v>
      </c>
      <c r="B94" s="518" t="s">
        <v>194</v>
      </c>
      <c r="C94" s="519"/>
      <c r="D94" s="519"/>
      <c r="E94" s="503" t="s">
        <v>17</v>
      </c>
      <c r="F94" s="490" t="s">
        <v>195</v>
      </c>
      <c r="G94" s="510">
        <v>5976230894.2841902</v>
      </c>
      <c r="H94" s="510">
        <v>7878225403</v>
      </c>
      <c r="I94" s="510">
        <v>6037650</v>
      </c>
      <c r="J94" s="510">
        <v>12333613771</v>
      </c>
      <c r="K94" s="510">
        <v>1809907273.6984406</v>
      </c>
      <c r="L94" s="510">
        <v>428133079.99619412</v>
      </c>
      <c r="M94" s="510">
        <v>3815072</v>
      </c>
      <c r="N94" s="510">
        <v>12697510373.864981</v>
      </c>
      <c r="O94" s="510">
        <v>259861</v>
      </c>
      <c r="P94" s="510">
        <v>448695.977691776</v>
      </c>
      <c r="Q94" s="510">
        <v>47235395</v>
      </c>
      <c r="R94" s="510">
        <v>39104387000</v>
      </c>
      <c r="S94" s="510">
        <v>10521128</v>
      </c>
      <c r="T94" s="510">
        <v>13817621</v>
      </c>
      <c r="U94" s="510">
        <v>658495666</v>
      </c>
      <c r="V94" s="510">
        <v>40567942</v>
      </c>
      <c r="W94" s="510">
        <v>18272869.093686</v>
      </c>
      <c r="X94" s="510">
        <v>2593371535</v>
      </c>
      <c r="Y94" s="510">
        <v>332319991132.14752</v>
      </c>
      <c r="Z94" s="510">
        <v>2704552516</v>
      </c>
      <c r="AA94" s="510">
        <v>947002000</v>
      </c>
      <c r="AB94" s="510">
        <v>3445785</v>
      </c>
      <c r="AC94" s="510">
        <v>2821127</v>
      </c>
      <c r="AD94" s="510">
        <v>5475226</v>
      </c>
      <c r="AE94" s="510">
        <v>40221268</v>
      </c>
      <c r="AF94" s="510">
        <v>32804566.243899841</v>
      </c>
      <c r="AG94" s="510">
        <v>5239724.79756073</v>
      </c>
      <c r="AH94" s="510">
        <v>112400</v>
      </c>
      <c r="AI94" s="510">
        <v>38180016</v>
      </c>
      <c r="AJ94" s="510">
        <v>1425525731.2519357</v>
      </c>
      <c r="AK94" s="510">
        <v>7294752</v>
      </c>
      <c r="AL94" s="510">
        <v>49579006.43731755</v>
      </c>
      <c r="AM94" s="510">
        <v>970581686</v>
      </c>
      <c r="AN94" s="510">
        <v>546818287181.90997</v>
      </c>
      <c r="AO94" s="510">
        <v>1228572898479.5303</v>
      </c>
      <c r="AP94" s="510">
        <v>314917188</v>
      </c>
    </row>
    <row r="95" spans="1:42" ht="15" customHeight="1" x14ac:dyDescent="0.25">
      <c r="A95" s="8">
        <v>108</v>
      </c>
      <c r="B95" s="19" t="s">
        <v>197</v>
      </c>
      <c r="C95" s="29"/>
      <c r="D95" s="30"/>
      <c r="E95" s="499"/>
      <c r="F95" s="490" t="s">
        <v>198</v>
      </c>
      <c r="G95" s="510">
        <v>204742896</v>
      </c>
      <c r="H95" s="510">
        <v>147421322.264</v>
      </c>
      <c r="I95" s="510">
        <v>54422</v>
      </c>
      <c r="J95" s="510">
        <v>318329241.06174201</v>
      </c>
      <c r="K95" s="510">
        <v>28697288</v>
      </c>
      <c r="L95" s="510">
        <v>3689166.4933600002</v>
      </c>
      <c r="M95" s="510">
        <v>45617.167000000001</v>
      </c>
      <c r="N95" s="510">
        <v>187949000</v>
      </c>
      <c r="O95" s="510">
        <v>6411.9355991399998</v>
      </c>
      <c r="P95" s="510">
        <v>4295</v>
      </c>
      <c r="Q95" s="510">
        <v>327149</v>
      </c>
      <c r="R95" s="510">
        <v>160369585.76322925</v>
      </c>
      <c r="S95" s="510">
        <v>63681</v>
      </c>
      <c r="T95" s="510">
        <v>45912.441118545903</v>
      </c>
      <c r="U95" s="510">
        <v>11216133.018925389</v>
      </c>
      <c r="V95" s="510">
        <v>5238929</v>
      </c>
      <c r="W95" s="510">
        <v>137719</v>
      </c>
      <c r="X95" s="510">
        <v>19235000</v>
      </c>
      <c r="Y95" s="510">
        <v>7058799000</v>
      </c>
      <c r="Z95" s="510">
        <v>23647638</v>
      </c>
      <c r="AA95" s="510">
        <v>10250000</v>
      </c>
      <c r="AB95" s="510">
        <v>33054</v>
      </c>
      <c r="AC95" s="510">
        <v>5289</v>
      </c>
      <c r="AD95" s="510">
        <v>21561</v>
      </c>
      <c r="AE95" s="510">
        <v>132984</v>
      </c>
      <c r="AF95" s="510">
        <v>226780</v>
      </c>
      <c r="AG95" s="510">
        <v>7930</v>
      </c>
      <c r="AH95" s="510">
        <v>0</v>
      </c>
      <c r="AI95" s="510">
        <v>73774</v>
      </c>
      <c r="AJ95" s="510">
        <v>6368615</v>
      </c>
      <c r="AK95" s="510">
        <v>41443</v>
      </c>
      <c r="AL95" s="510">
        <v>186680.68318704999</v>
      </c>
      <c r="AM95" s="510">
        <v>11678830</v>
      </c>
      <c r="AN95" s="510">
        <v>23777107902.790001</v>
      </c>
      <c r="AO95" s="510">
        <v>22840091174.599998</v>
      </c>
      <c r="AP95" s="510">
        <v>4351205</v>
      </c>
    </row>
    <row r="96" spans="1:42" ht="15" customHeight="1" x14ac:dyDescent="0.25">
      <c r="A96" s="8">
        <v>109</v>
      </c>
      <c r="B96" s="21" t="s">
        <v>199</v>
      </c>
      <c r="C96" s="22"/>
      <c r="D96" s="11"/>
      <c r="E96" s="499"/>
      <c r="F96" s="490" t="s">
        <v>200</v>
      </c>
      <c r="G96" s="510">
        <v>0</v>
      </c>
      <c r="H96" s="510">
        <v>8185196.4409999996</v>
      </c>
      <c r="I96" s="510">
        <v>28006</v>
      </c>
      <c r="J96" s="510">
        <v>48857991.711970501</v>
      </c>
      <c r="K96" s="510">
        <v>59133594</v>
      </c>
      <c r="L96" s="510">
        <v>24287585.601849999</v>
      </c>
      <c r="M96" s="510">
        <v>85080.160999999993</v>
      </c>
      <c r="N96" s="510">
        <v>51000</v>
      </c>
      <c r="O96" s="510">
        <v>19738.309142309998</v>
      </c>
      <c r="P96" s="510">
        <v>14724</v>
      </c>
      <c r="Q96" s="510">
        <v>61774</v>
      </c>
      <c r="R96" s="510">
        <v>115459132.596</v>
      </c>
      <c r="S96" s="510">
        <v>79271</v>
      </c>
      <c r="T96" s="510">
        <v>109885.71413883501</v>
      </c>
      <c r="U96" s="510">
        <v>40888692.856950901</v>
      </c>
      <c r="V96" s="510">
        <v>12024562</v>
      </c>
      <c r="W96" s="510">
        <v>60228.888678611998</v>
      </c>
      <c r="X96" s="510">
        <v>60985000</v>
      </c>
      <c r="Y96" s="510">
        <v>23680249000</v>
      </c>
      <c r="Z96" s="510">
        <v>85874071</v>
      </c>
      <c r="AA96" s="510">
        <v>27581000</v>
      </c>
      <c r="AB96" s="510">
        <v>95377</v>
      </c>
      <c r="AC96" s="510">
        <v>51382</v>
      </c>
      <c r="AD96" s="510">
        <v>99888</v>
      </c>
      <c r="AE96" s="510">
        <v>89521</v>
      </c>
      <c r="AF96" s="510">
        <v>365556</v>
      </c>
      <c r="AG96" s="510">
        <v>45622</v>
      </c>
      <c r="AH96" s="510">
        <v>11058</v>
      </c>
      <c r="AI96" s="510">
        <v>61104</v>
      </c>
      <c r="AJ96" s="510">
        <v>22511572</v>
      </c>
      <c r="AK96" s="510">
        <v>42596</v>
      </c>
      <c r="AL96" s="510">
        <v>42665.889272230001</v>
      </c>
      <c r="AM96" s="510">
        <v>39997815</v>
      </c>
      <c r="AN96" s="510">
        <v>20414947511.720001</v>
      </c>
      <c r="AO96" s="510">
        <v>21451299598.390003</v>
      </c>
      <c r="AP96" s="510">
        <v>41916973</v>
      </c>
    </row>
    <row r="97" spans="1:42" ht="15" customHeight="1" x14ac:dyDescent="0.25">
      <c r="A97" s="8">
        <v>110</v>
      </c>
      <c r="B97" s="21" t="s">
        <v>201</v>
      </c>
      <c r="C97" s="22"/>
      <c r="D97" s="11"/>
      <c r="E97" s="499"/>
      <c r="F97" s="490" t="s">
        <v>202</v>
      </c>
      <c r="G97" s="510">
        <v>106234091</v>
      </c>
      <c r="H97" s="510">
        <v>46593059.233518042</v>
      </c>
      <c r="I97" s="510">
        <v>53205</v>
      </c>
      <c r="J97" s="510">
        <v>97943421.213102996</v>
      </c>
      <c r="K97" s="510">
        <v>49852868.96246893</v>
      </c>
      <c r="L97" s="510">
        <v>20702528.29662044</v>
      </c>
      <c r="M97" s="510">
        <v>98682.734693372011</v>
      </c>
      <c r="N97" s="510">
        <v>72293840</v>
      </c>
      <c r="O97" s="510">
        <v>15252</v>
      </c>
      <c r="P97" s="510">
        <v>14734</v>
      </c>
      <c r="Q97" s="510">
        <v>123741</v>
      </c>
      <c r="R97" s="510">
        <v>75251996.223750025</v>
      </c>
      <c r="S97" s="510">
        <v>121892</v>
      </c>
      <c r="T97" s="510">
        <v>86287.118952739998</v>
      </c>
      <c r="U97" s="510">
        <v>19656089.458539393</v>
      </c>
      <c r="V97" s="510">
        <v>9398172</v>
      </c>
      <c r="W97" s="510">
        <v>55360.4</v>
      </c>
      <c r="X97" s="510">
        <v>59236997.345157601</v>
      </c>
      <c r="Y97" s="510">
        <v>29116127000</v>
      </c>
      <c r="Z97" s="510">
        <v>90691949</v>
      </c>
      <c r="AA97" s="510">
        <v>36103000</v>
      </c>
      <c r="AB97" s="510">
        <v>77325</v>
      </c>
      <c r="AC97" s="510">
        <v>42167</v>
      </c>
      <c r="AD97" s="510">
        <v>49012</v>
      </c>
      <c r="AE97" s="510">
        <v>71110</v>
      </c>
      <c r="AF97" s="510">
        <v>304519</v>
      </c>
      <c r="AG97" s="510">
        <v>43376</v>
      </c>
      <c r="AH97" s="510">
        <v>7591</v>
      </c>
      <c r="AI97" s="510">
        <v>83380</v>
      </c>
      <c r="AJ97" s="510">
        <v>20904822</v>
      </c>
      <c r="AK97" s="510">
        <v>24581</v>
      </c>
      <c r="AL97" s="510">
        <v>74299.390248000011</v>
      </c>
      <c r="AM97" s="510">
        <v>26006088.38257999</v>
      </c>
      <c r="AN97" s="510">
        <v>19132270000</v>
      </c>
      <c r="AO97" s="510">
        <v>15585193611.220001</v>
      </c>
      <c r="AP97" s="510">
        <v>20772952</v>
      </c>
    </row>
    <row r="98" spans="1:42" ht="15" customHeight="1" x14ac:dyDescent="0.25">
      <c r="A98" s="8">
        <v>111</v>
      </c>
      <c r="B98" s="26" t="s">
        <v>203</v>
      </c>
      <c r="C98" s="27"/>
      <c r="D98" s="11"/>
      <c r="E98" s="499"/>
      <c r="F98" s="490" t="s">
        <v>204</v>
      </c>
      <c r="G98" s="510">
        <v>83732484.25</v>
      </c>
      <c r="H98" s="510">
        <v>54330279.176927403</v>
      </c>
      <c r="I98" s="510">
        <v>20690</v>
      </c>
      <c r="J98" s="510">
        <v>81073474.809851393</v>
      </c>
      <c r="K98" s="510">
        <v>5345314.9981129253</v>
      </c>
      <c r="L98" s="510">
        <v>2619483.8799431985</v>
      </c>
      <c r="M98" s="510">
        <v>5304.0999211029839</v>
      </c>
      <c r="N98" s="510">
        <v>77061896</v>
      </c>
      <c r="O98" s="510">
        <v>587</v>
      </c>
      <c r="P98" s="510">
        <v>514</v>
      </c>
      <c r="Q98" s="510">
        <v>225405</v>
      </c>
      <c r="R98" s="510">
        <v>15373864.396173006</v>
      </c>
      <c r="S98" s="510">
        <v>14731</v>
      </c>
      <c r="T98" s="510">
        <v>7420.1176853499992</v>
      </c>
      <c r="U98" s="510">
        <v>5581541.4184840536</v>
      </c>
      <c r="V98" s="510">
        <v>129293</v>
      </c>
      <c r="W98" s="510">
        <v>19878.557480222789</v>
      </c>
      <c r="X98" s="510">
        <v>1513339.6785079001</v>
      </c>
      <c r="Y98" s="510">
        <v>932803000</v>
      </c>
      <c r="Z98" s="510">
        <v>13575055</v>
      </c>
      <c r="AA98" s="510">
        <v>603000</v>
      </c>
      <c r="AB98" s="510">
        <v>16637</v>
      </c>
      <c r="AC98" s="510">
        <v>12983</v>
      </c>
      <c r="AD98" s="510">
        <v>5480</v>
      </c>
      <c r="AE98" s="510">
        <v>20482</v>
      </c>
      <c r="AF98" s="510">
        <v>31284</v>
      </c>
      <c r="AG98" s="510">
        <v>637</v>
      </c>
      <c r="AH98" s="510">
        <v>617</v>
      </c>
      <c r="AI98" s="510">
        <v>19764</v>
      </c>
      <c r="AJ98" s="510">
        <v>4033978</v>
      </c>
      <c r="AK98" s="510">
        <v>10752</v>
      </c>
      <c r="AL98" s="510">
        <v>24915.680263500002</v>
      </c>
      <c r="AM98" s="510">
        <v>6300849.8012290001</v>
      </c>
      <c r="AN98" s="510">
        <v>3613890000</v>
      </c>
      <c r="AO98" s="510">
        <v>2065275124.8760004</v>
      </c>
      <c r="AP98" s="510">
        <v>3826570</v>
      </c>
    </row>
    <row r="99" spans="1:42" ht="15" customHeight="1" x14ac:dyDescent="0.25">
      <c r="A99" s="8">
        <v>113</v>
      </c>
      <c r="B99" s="518" t="s">
        <v>205</v>
      </c>
      <c r="C99" s="519"/>
      <c r="D99" s="519"/>
      <c r="E99" s="503" t="s">
        <v>17</v>
      </c>
      <c r="F99" s="490" t="s">
        <v>206</v>
      </c>
      <c r="G99" s="510">
        <v>14776320.75</v>
      </c>
      <c r="H99" s="510">
        <v>54683180.294554532</v>
      </c>
      <c r="I99" s="510">
        <v>8533</v>
      </c>
      <c r="J99" s="510">
        <v>188170336.75075811</v>
      </c>
      <c r="K99" s="510">
        <v>32632698.039418146</v>
      </c>
      <c r="L99" s="510">
        <v>4654739.9186463617</v>
      </c>
      <c r="M99" s="510">
        <v>26710.493385524998</v>
      </c>
      <c r="N99" s="510">
        <v>38644264</v>
      </c>
      <c r="O99" s="510">
        <v>10311.244741449998</v>
      </c>
      <c r="P99" s="510">
        <v>3771</v>
      </c>
      <c r="Q99" s="510">
        <v>39777</v>
      </c>
      <c r="R99" s="510">
        <v>185202857.73930624</v>
      </c>
      <c r="S99" s="510">
        <v>6329</v>
      </c>
      <c r="T99" s="510">
        <v>62091</v>
      </c>
      <c r="U99" s="510">
        <v>26867194.998852845</v>
      </c>
      <c r="V99" s="510">
        <v>7736026</v>
      </c>
      <c r="W99" s="510">
        <v>122708.93119838923</v>
      </c>
      <c r="X99" s="510">
        <v>19469662.976334497</v>
      </c>
      <c r="Y99" s="510">
        <v>690118000</v>
      </c>
      <c r="Z99" s="510">
        <v>5254705</v>
      </c>
      <c r="AA99" s="510">
        <v>1125000</v>
      </c>
      <c r="AB99" s="510">
        <v>34469</v>
      </c>
      <c r="AC99" s="510">
        <v>1521</v>
      </c>
      <c r="AD99" s="510">
        <v>66957</v>
      </c>
      <c r="AE99" s="510">
        <v>130913</v>
      </c>
      <c r="AF99" s="510">
        <v>256533</v>
      </c>
      <c r="AG99" s="510">
        <v>9539</v>
      </c>
      <c r="AH99" s="510">
        <v>2850</v>
      </c>
      <c r="AI99" s="510">
        <v>31734</v>
      </c>
      <c r="AJ99" s="510">
        <v>3941387</v>
      </c>
      <c r="AK99" s="510">
        <v>48706</v>
      </c>
      <c r="AL99" s="510">
        <v>130131.50194777998</v>
      </c>
      <c r="AM99" s="510">
        <v>19369706.81619101</v>
      </c>
      <c r="AN99" s="510">
        <v>21445895414.510002</v>
      </c>
      <c r="AO99" s="510">
        <v>26640922036.894005</v>
      </c>
      <c r="AP99" s="510">
        <v>21668656</v>
      </c>
    </row>
    <row r="100" spans="1:42" ht="15" customHeight="1" x14ac:dyDescent="0.25">
      <c r="A100" s="8">
        <v>114</v>
      </c>
      <c r="B100" s="518" t="s">
        <v>208</v>
      </c>
      <c r="C100" s="519"/>
      <c r="D100" s="519"/>
      <c r="E100" s="499"/>
      <c r="F100" s="490" t="s">
        <v>209</v>
      </c>
      <c r="G100" s="510">
        <v>134009176.65820301</v>
      </c>
      <c r="H100" s="510">
        <v>1300270</v>
      </c>
      <c r="I100" s="510">
        <v>2966</v>
      </c>
      <c r="J100" s="510">
        <v>25755000</v>
      </c>
      <c r="K100" s="510">
        <v>887390</v>
      </c>
      <c r="L100" s="510">
        <v>1697706</v>
      </c>
      <c r="M100" s="510">
        <v>1431.3810000000001</v>
      </c>
      <c r="N100" s="510">
        <v>190000</v>
      </c>
      <c r="O100" s="510">
        <v>331</v>
      </c>
      <c r="P100" s="510">
        <v>3582</v>
      </c>
      <c r="Q100" s="510">
        <v>13246</v>
      </c>
      <c r="R100" s="510">
        <v>20589658.828881796</v>
      </c>
      <c r="S100" s="510">
        <v>14959</v>
      </c>
      <c r="T100" s="510">
        <v>7462</v>
      </c>
      <c r="U100" s="510">
        <v>4018576.8258253988</v>
      </c>
      <c r="V100" s="510">
        <v>126632</v>
      </c>
      <c r="W100" s="510">
        <v>5780.6083840000001</v>
      </c>
      <c r="X100" s="510">
        <v>6026000</v>
      </c>
      <c r="Y100" s="510">
        <v>690606000</v>
      </c>
      <c r="Z100" s="510">
        <v>7412000</v>
      </c>
      <c r="AA100" s="510">
        <v>1321000</v>
      </c>
      <c r="AB100" s="510">
        <v>2601</v>
      </c>
      <c r="AC100" s="510">
        <v>2438</v>
      </c>
      <c r="AD100" s="510">
        <v>4464</v>
      </c>
      <c r="AE100" s="510">
        <v>32914.274296115087</v>
      </c>
      <c r="AF100" s="510">
        <v>14774.07785322961</v>
      </c>
      <c r="AG100" s="510">
        <v>7700</v>
      </c>
      <c r="AH100" s="510">
        <v>82</v>
      </c>
      <c r="AI100" s="510">
        <v>6761</v>
      </c>
      <c r="AJ100" s="510">
        <v>4478000</v>
      </c>
      <c r="AK100" s="510">
        <v>2182</v>
      </c>
      <c r="AL100" s="510">
        <v>27383.938968800001</v>
      </c>
      <c r="AM100" s="510">
        <v>3120000</v>
      </c>
      <c r="AN100" s="510">
        <v>574693754.80999994</v>
      </c>
      <c r="AO100" s="510">
        <v>2204187901.1900001</v>
      </c>
      <c r="AP100" s="510">
        <v>414894</v>
      </c>
    </row>
    <row r="101" spans="1:42" ht="15" customHeight="1" x14ac:dyDescent="0.25">
      <c r="A101" s="8">
        <v>115</v>
      </c>
      <c r="B101" s="19" t="s">
        <v>212</v>
      </c>
      <c r="C101" s="29"/>
      <c r="D101" s="30"/>
      <c r="E101" s="499"/>
      <c r="F101" s="490" t="s">
        <v>213</v>
      </c>
      <c r="G101" s="510">
        <v>826960000</v>
      </c>
      <c r="H101" s="510">
        <v>1048776170</v>
      </c>
      <c r="I101" s="510">
        <v>385793</v>
      </c>
      <c r="J101" s="510">
        <v>1096975501.4944046</v>
      </c>
      <c r="K101" s="510">
        <v>260238663</v>
      </c>
      <c r="L101" s="510">
        <v>17367193</v>
      </c>
      <c r="M101" s="510">
        <v>732557.54212299967</v>
      </c>
      <c r="N101" s="510">
        <v>287443112.5395</v>
      </c>
      <c r="O101" s="510">
        <v>105063.302</v>
      </c>
      <c r="P101" s="510">
        <v>98266</v>
      </c>
      <c r="Q101" s="510">
        <v>1333857.5</v>
      </c>
      <c r="R101" s="510">
        <v>876694955.32243681</v>
      </c>
      <c r="S101" s="510">
        <v>236908</v>
      </c>
      <c r="T101" s="510">
        <v>355550.20129287988</v>
      </c>
      <c r="U101" s="510">
        <v>75917623.430000007</v>
      </c>
      <c r="V101" s="510">
        <v>557886</v>
      </c>
      <c r="W101" s="510">
        <v>438088</v>
      </c>
      <c r="X101" s="510">
        <v>101155000</v>
      </c>
      <c r="Y101" s="510">
        <v>8804166239</v>
      </c>
      <c r="Z101" s="510">
        <v>433361884.94366992</v>
      </c>
      <c r="AA101" s="510">
        <v>94970361</v>
      </c>
      <c r="AB101" s="510">
        <v>469701</v>
      </c>
      <c r="AC101" s="510">
        <v>232168</v>
      </c>
      <c r="AD101" s="510">
        <v>546951</v>
      </c>
      <c r="AE101" s="510">
        <v>584795</v>
      </c>
      <c r="AF101" s="510">
        <v>1529945.8048313451</v>
      </c>
      <c r="AG101" s="510">
        <v>67241</v>
      </c>
      <c r="AH101" s="510">
        <v>6590</v>
      </c>
      <c r="AI101" s="510">
        <v>384301</v>
      </c>
      <c r="AJ101" s="510">
        <v>70053711</v>
      </c>
      <c r="AK101" s="510">
        <v>260690</v>
      </c>
      <c r="AL101" s="510">
        <v>762580.20600000001</v>
      </c>
      <c r="AM101" s="510">
        <v>80159859</v>
      </c>
      <c r="AN101" s="510">
        <v>49946221000</v>
      </c>
      <c r="AO101" s="510">
        <v>76883712000</v>
      </c>
      <c r="AP101" s="510">
        <v>66154289</v>
      </c>
    </row>
    <row r="102" spans="1:42" ht="15" customHeight="1" x14ac:dyDescent="0.25">
      <c r="A102" s="8">
        <v>117</v>
      </c>
      <c r="B102" s="518" t="s">
        <v>214</v>
      </c>
      <c r="C102" s="519"/>
      <c r="D102" s="519"/>
      <c r="E102" s="503" t="s">
        <v>17</v>
      </c>
      <c r="F102" s="490" t="s">
        <v>215</v>
      </c>
      <c r="G102" s="510">
        <v>826960000</v>
      </c>
      <c r="H102" s="510">
        <v>1048776170</v>
      </c>
      <c r="I102" s="510">
        <v>385793</v>
      </c>
      <c r="J102" s="510">
        <v>1096975501.4944046</v>
      </c>
      <c r="K102" s="510">
        <v>260238663</v>
      </c>
      <c r="L102" s="510">
        <v>17367193</v>
      </c>
      <c r="M102" s="510">
        <v>732557.54212299967</v>
      </c>
      <c r="N102" s="510">
        <v>287443112.5395</v>
      </c>
      <c r="O102" s="510">
        <v>105063.302</v>
      </c>
      <c r="P102" s="510">
        <v>98266</v>
      </c>
      <c r="Q102" s="510">
        <v>1333857.5</v>
      </c>
      <c r="R102" s="510">
        <v>876694955.32243681</v>
      </c>
      <c r="S102" s="510">
        <v>236908</v>
      </c>
      <c r="T102" s="510">
        <v>355550</v>
      </c>
      <c r="U102" s="510">
        <v>75917623.430000007</v>
      </c>
      <c r="V102" s="510">
        <v>557886</v>
      </c>
      <c r="W102" s="510">
        <v>438088</v>
      </c>
      <c r="X102" s="510">
        <v>101155000</v>
      </c>
      <c r="Y102" s="510">
        <v>8804166239</v>
      </c>
      <c r="Z102" s="510">
        <v>433361884.94366992</v>
      </c>
      <c r="AA102" s="510">
        <v>94970361</v>
      </c>
      <c r="AB102" s="510">
        <v>469701</v>
      </c>
      <c r="AC102" s="510">
        <v>232168</v>
      </c>
      <c r="AD102" s="510">
        <v>546951</v>
      </c>
      <c r="AE102" s="510">
        <v>584795</v>
      </c>
      <c r="AF102" s="510">
        <v>1529945.8048313451</v>
      </c>
      <c r="AG102" s="510">
        <v>67241</v>
      </c>
      <c r="AH102" s="510">
        <v>6590</v>
      </c>
      <c r="AI102" s="510">
        <v>384301</v>
      </c>
      <c r="AJ102" s="510">
        <v>70053711</v>
      </c>
      <c r="AK102" s="510">
        <v>260690</v>
      </c>
      <c r="AL102" s="510">
        <v>762580.20600000001</v>
      </c>
      <c r="AM102" s="510">
        <v>80159859</v>
      </c>
      <c r="AN102" s="510">
        <v>49946221000</v>
      </c>
      <c r="AO102" s="510">
        <v>76883712000</v>
      </c>
      <c r="AP102" s="510">
        <v>66154289</v>
      </c>
    </row>
    <row r="103" spans="1:42" ht="15" customHeight="1" x14ac:dyDescent="0.25">
      <c r="A103" s="8">
        <v>118</v>
      </c>
      <c r="B103" s="19" t="s">
        <v>217</v>
      </c>
      <c r="C103" s="29"/>
      <c r="D103" s="30"/>
      <c r="E103" s="499"/>
      <c r="F103" s="490" t="s">
        <v>218</v>
      </c>
      <c r="G103" s="510">
        <v>812161051</v>
      </c>
      <c r="H103" s="510">
        <v>650182499</v>
      </c>
      <c r="I103" s="510">
        <v>152050</v>
      </c>
      <c r="J103" s="510">
        <v>1068608375.1288306</v>
      </c>
      <c r="K103" s="510">
        <v>113968955</v>
      </c>
      <c r="L103" s="510">
        <v>0</v>
      </c>
      <c r="M103" s="510">
        <v>204213.28721500005</v>
      </c>
      <c r="N103" s="510">
        <v>431130702.9252373</v>
      </c>
      <c r="O103" s="510">
        <v>51319.538999999997</v>
      </c>
      <c r="P103" s="510">
        <v>102320</v>
      </c>
      <c r="Q103" s="510">
        <v>1248140.3000000003</v>
      </c>
      <c r="R103" s="510">
        <v>558141295.4642539</v>
      </c>
      <c r="S103" s="510">
        <v>117326</v>
      </c>
      <c r="T103" s="510">
        <v>65365.638565015302</v>
      </c>
      <c r="U103" s="510">
        <v>18822769.378682002</v>
      </c>
      <c r="V103" s="510">
        <v>557886</v>
      </c>
      <c r="W103" s="510">
        <v>173929.01626166003</v>
      </c>
      <c r="X103" s="510">
        <v>80973000</v>
      </c>
      <c r="Y103" s="510">
        <v>36868997721</v>
      </c>
      <c r="Z103" s="510">
        <v>164644413.82642266</v>
      </c>
      <c r="AA103" s="510">
        <v>153594042</v>
      </c>
      <c r="AB103" s="510">
        <v>331761</v>
      </c>
      <c r="AC103" s="510">
        <v>131321</v>
      </c>
      <c r="AD103" s="510">
        <v>379891</v>
      </c>
      <c r="AE103" s="510">
        <v>460855.83060485509</v>
      </c>
      <c r="AF103" s="510">
        <v>1064758.2913565738</v>
      </c>
      <c r="AG103" s="510">
        <v>127985</v>
      </c>
      <c r="AH103" s="510">
        <v>11209</v>
      </c>
      <c r="AI103" s="510">
        <v>181892</v>
      </c>
      <c r="AJ103" s="510">
        <v>23168652</v>
      </c>
      <c r="AK103" s="510">
        <v>142637</v>
      </c>
      <c r="AL103" s="510">
        <v>663133.41799999995</v>
      </c>
      <c r="AM103" s="510">
        <v>35798041</v>
      </c>
      <c r="AN103" s="510">
        <v>10038329000</v>
      </c>
      <c r="AO103" s="510">
        <v>36386792000</v>
      </c>
      <c r="AP103" s="510">
        <v>20173331</v>
      </c>
    </row>
    <row r="104" spans="1:42" ht="15" customHeight="1" x14ac:dyDescent="0.25">
      <c r="A104" s="8">
        <v>119</v>
      </c>
      <c r="B104" s="24" t="s">
        <v>219</v>
      </c>
      <c r="C104" s="25"/>
      <c r="D104" s="11"/>
      <c r="E104" s="499"/>
      <c r="F104" s="490" t="s">
        <v>220</v>
      </c>
      <c r="G104" s="509">
        <v>264856290</v>
      </c>
      <c r="H104" s="509">
        <v>300226151</v>
      </c>
      <c r="I104" s="509">
        <v>33981</v>
      </c>
      <c r="J104" s="509">
        <v>201216871.65087676</v>
      </c>
      <c r="K104" s="509">
        <v>8395234</v>
      </c>
      <c r="L104" s="509">
        <v>0</v>
      </c>
      <c r="M104" s="509">
        <v>51608.892870000003</v>
      </c>
      <c r="N104" s="509">
        <v>28262292.249351792</v>
      </c>
      <c r="O104" s="509">
        <v>6304.7820000000002</v>
      </c>
      <c r="P104" s="509">
        <v>31393</v>
      </c>
      <c r="Q104" s="509">
        <v>275168.08641114988</v>
      </c>
      <c r="R104" s="509">
        <v>374443803.21754801</v>
      </c>
      <c r="S104" s="509">
        <v>98754</v>
      </c>
      <c r="T104" s="509">
        <v>0</v>
      </c>
      <c r="U104" s="509">
        <v>13569611.000682002</v>
      </c>
      <c r="V104" s="509">
        <v>0</v>
      </c>
      <c r="W104" s="509">
        <v>0</v>
      </c>
      <c r="X104" s="509">
        <v>0</v>
      </c>
      <c r="Y104" s="509">
        <v>15185085992</v>
      </c>
      <c r="Z104" s="509">
        <v>61275645.821532756</v>
      </c>
      <c r="AA104" s="509">
        <v>69491191</v>
      </c>
      <c r="AB104" s="509">
        <v>221404</v>
      </c>
      <c r="AC104" s="509">
        <v>121565</v>
      </c>
      <c r="AD104" s="509">
        <v>48239</v>
      </c>
      <c r="AE104" s="509">
        <v>207808.89700820096</v>
      </c>
      <c r="AF104" s="509">
        <v>50637.488422303861</v>
      </c>
      <c r="AG104" s="509">
        <v>22050</v>
      </c>
      <c r="AH104" s="509">
        <v>6456</v>
      </c>
      <c r="AI104" s="509">
        <v>28756</v>
      </c>
      <c r="AJ104" s="509">
        <v>8152747</v>
      </c>
      <c r="AK104" s="509">
        <v>28364</v>
      </c>
      <c r="AL104" s="509">
        <v>269953.071</v>
      </c>
      <c r="AM104" s="509">
        <v>3904788</v>
      </c>
      <c r="AN104" s="509">
        <v>2817859000</v>
      </c>
      <c r="AO104" s="509">
        <v>8582875000</v>
      </c>
      <c r="AP104" s="509">
        <v>9430572</v>
      </c>
    </row>
    <row r="105" spans="1:42" ht="15" customHeight="1" x14ac:dyDescent="0.25">
      <c r="A105" s="8">
        <v>120</v>
      </c>
      <c r="B105" s="21" t="s">
        <v>221</v>
      </c>
      <c r="C105" s="22"/>
      <c r="D105" s="11"/>
      <c r="E105" s="499"/>
      <c r="F105" s="490" t="s">
        <v>222</v>
      </c>
      <c r="G105" s="509">
        <v>195655000</v>
      </c>
      <c r="H105" s="509">
        <v>260242039</v>
      </c>
      <c r="I105" s="509">
        <v>194822</v>
      </c>
      <c r="J105" s="509">
        <v>365718390.53517699</v>
      </c>
      <c r="K105" s="509">
        <v>169640224</v>
      </c>
      <c r="L105" s="509">
        <v>43866</v>
      </c>
      <c r="M105" s="509">
        <v>499093.20994100004</v>
      </c>
      <c r="N105" s="509">
        <v>881349382.9852922</v>
      </c>
      <c r="O105" s="509">
        <v>49741.082000000002</v>
      </c>
      <c r="P105" s="509">
        <v>38696</v>
      </c>
      <c r="Q105" s="509">
        <v>1130419.3999999999</v>
      </c>
      <c r="R105" s="509">
        <v>400479887</v>
      </c>
      <c r="S105" s="509">
        <v>39353</v>
      </c>
      <c r="T105" s="509">
        <v>239758.02080040198</v>
      </c>
      <c r="U105" s="509">
        <v>37615974.443849191</v>
      </c>
      <c r="V105" s="509">
        <v>0</v>
      </c>
      <c r="W105" s="509">
        <v>174660.89423694997</v>
      </c>
      <c r="X105" s="509">
        <v>44646000</v>
      </c>
      <c r="Y105" s="509">
        <v>1652607747</v>
      </c>
      <c r="Z105" s="509">
        <v>306631409.54170001</v>
      </c>
      <c r="AA105" s="509">
        <v>33206220</v>
      </c>
      <c r="AB105" s="509">
        <v>345944</v>
      </c>
      <c r="AC105" s="509">
        <v>64067</v>
      </c>
      <c r="AD105" s="509">
        <v>166460</v>
      </c>
      <c r="AE105" s="509">
        <v>233728</v>
      </c>
      <c r="AF105" s="509">
        <v>694097.374045845</v>
      </c>
      <c r="AG105" s="509">
        <v>7980</v>
      </c>
      <c r="AH105" s="509">
        <v>1836</v>
      </c>
      <c r="AI105" s="509">
        <v>135870</v>
      </c>
      <c r="AJ105" s="509">
        <v>5732807</v>
      </c>
      <c r="AK105" s="509">
        <v>19681</v>
      </c>
      <c r="AL105" s="509">
        <v>281024.28000000003</v>
      </c>
      <c r="AM105" s="509">
        <v>16494506</v>
      </c>
      <c r="AN105" s="509">
        <v>4067216000</v>
      </c>
      <c r="AO105" s="509">
        <v>3675078000</v>
      </c>
      <c r="AP105" s="509">
        <v>17643136</v>
      </c>
    </row>
    <row r="106" spans="1:42" ht="15" customHeight="1" x14ac:dyDescent="0.25">
      <c r="A106" s="8">
        <v>122</v>
      </c>
      <c r="B106" s="518" t="s">
        <v>223</v>
      </c>
      <c r="C106" s="519"/>
      <c r="D106" s="519"/>
      <c r="E106" s="503" t="s">
        <v>17</v>
      </c>
      <c r="F106" s="490" t="s">
        <v>224</v>
      </c>
      <c r="G106" s="509">
        <v>742959761</v>
      </c>
      <c r="H106" s="509">
        <v>610198387</v>
      </c>
      <c r="I106" s="509">
        <v>312891</v>
      </c>
      <c r="J106" s="509">
        <v>1233109894.0131307</v>
      </c>
      <c r="K106" s="509">
        <v>275213945</v>
      </c>
      <c r="L106" s="509">
        <v>43866</v>
      </c>
      <c r="M106" s="509">
        <v>651697.60428600013</v>
      </c>
      <c r="N106" s="509">
        <v>1284217793.6611776</v>
      </c>
      <c r="O106" s="509">
        <v>94755.839000000007</v>
      </c>
      <c r="P106" s="509">
        <v>109623</v>
      </c>
      <c r="Q106" s="509">
        <v>2103391.61358885</v>
      </c>
      <c r="R106" s="509">
        <v>584177379.24670589</v>
      </c>
      <c r="S106" s="509">
        <v>57925</v>
      </c>
      <c r="T106" s="509">
        <v>305124</v>
      </c>
      <c r="U106" s="509">
        <v>42869132.82184919</v>
      </c>
      <c r="V106" s="509">
        <v>557886</v>
      </c>
      <c r="W106" s="509">
        <v>348589.91049861</v>
      </c>
      <c r="X106" s="509">
        <v>125619000</v>
      </c>
      <c r="Y106" s="509">
        <v>23336519476</v>
      </c>
      <c r="Z106" s="509">
        <v>410000177.54658991</v>
      </c>
      <c r="AA106" s="509">
        <v>117309071</v>
      </c>
      <c r="AB106" s="509">
        <v>456301</v>
      </c>
      <c r="AC106" s="509">
        <v>73823</v>
      </c>
      <c r="AD106" s="509">
        <v>498112</v>
      </c>
      <c r="AE106" s="509">
        <v>486774.9335966541</v>
      </c>
      <c r="AF106" s="509">
        <v>1708218.176980115</v>
      </c>
      <c r="AG106" s="509">
        <v>113915</v>
      </c>
      <c r="AH106" s="509">
        <v>6589</v>
      </c>
      <c r="AI106" s="509">
        <v>289006</v>
      </c>
      <c r="AJ106" s="509">
        <v>20748712</v>
      </c>
      <c r="AK106" s="509">
        <v>133954</v>
      </c>
      <c r="AL106" s="509">
        <v>674204.62699999998</v>
      </c>
      <c r="AM106" s="509">
        <v>48387759</v>
      </c>
      <c r="AN106" s="509">
        <v>11287686000</v>
      </c>
      <c r="AO106" s="509">
        <v>31478995000</v>
      </c>
      <c r="AP106" s="509">
        <v>28385895</v>
      </c>
    </row>
    <row r="107" spans="1:42" x14ac:dyDescent="0.25"/>
    <row r="108" spans="1:42" x14ac:dyDescent="0.25"/>
    <row r="109" spans="1:42" x14ac:dyDescent="0.25"/>
    <row r="110" spans="1:42" x14ac:dyDescent="0.25"/>
  </sheetData>
  <mergeCells count="4">
    <mergeCell ref="B27:D27"/>
    <mergeCell ref="B34:D34"/>
    <mergeCell ref="B47:D47"/>
    <mergeCell ref="B87:D87"/>
  </mergeCells>
  <dataValidations count="5">
    <dataValidation type="list" allowBlank="1" showInputMessage="1" showErrorMessage="1" sqref="E9">
      <formula1>ReportingCurrency</formula1>
    </dataValidation>
    <dataValidation type="list" allowBlank="1" showInputMessage="1" showErrorMessage="1" sqref="E11">
      <formula1>ReportingUnit</formula1>
    </dataValidation>
    <dataValidation type="list" allowBlank="1" showInputMessage="1" showErrorMessage="1" sqref="E12">
      <formula1>AccountingStandard</formula1>
    </dataValidation>
    <dataValidation type="list" allowBlank="1" showInputMessage="1" showErrorMessage="1" sqref="E5">
      <formula1>CountryCode</formula1>
    </dataValidation>
    <dataValidation type="list" allowBlank="1" showInputMessage="1" showErrorMessage="1" sqref="E8">
      <formula1>ReportingDate</formula1>
    </dataValidation>
  </dataValidations>
  <hyperlinks>
    <hyperlink ref="X13" r:id="rId1"/>
    <hyperlink ref="N13" r:id="rId2"/>
    <hyperlink ref="P13" r:id="rId3"/>
    <hyperlink ref="Z13" r:id="rId4"/>
    <hyperlink ref="AB13" r:id="rId5" display="http://www.ing.com"/>
    <hyperlink ref="AI13" r:id="rId6"/>
    <hyperlink ref="O13" r:id="rId7"/>
    <hyperlink ref="K13" r:id="rId8" display="http://accionistaseinversores.bbva.com/TLBB/fbinir/mult/Informacion_BBVA_GSIBs_Diciembre_2013_tcm926-461857.pdf"/>
    <hyperlink ref="I13" r:id="rId9"/>
    <hyperlink ref="G13" r:id="rId10"/>
    <hyperlink ref="H13" r:id="rId11"/>
    <hyperlink ref="M13" display="http://www.santander.com/csgs/BlobServer?blobcol=urldata&amp;blobheadername1=content-type&amp;blobheadername2=Content-Disposition&amp;blobheadername3=MDT-Type&amp;blobheadervalue1=application/pdf&amp;leng=es_ES&amp;blobheadervalue2=inline%3B+filename%3D447\933\Presentacionvpubli"/>
    <hyperlink ref="R13" r:id="rId12"/>
    <hyperlink ref="S13" r:id="rId13"/>
    <hyperlink ref="T13" r:id="rId14"/>
    <hyperlink ref="U13" r:id="rId15"/>
    <hyperlink ref="V13" r:id="rId16"/>
    <hyperlink ref="W13" r:id="rId17"/>
    <hyperlink ref="Y13" r:id="rId18"/>
    <hyperlink ref="AD13" r:id="rId19"/>
    <hyperlink ref="AF13" r:id="rId20"/>
    <hyperlink ref="AG13" r:id="rId21"/>
    <hyperlink ref="AH13" r:id="rId22" location="xtab:2013-2014_x000a_"/>
    <hyperlink ref="AK13" r:id="rId23"/>
    <hyperlink ref="AL13" r:id="rId24"/>
    <hyperlink ref="AN13" r:id="rId25"/>
    <hyperlink ref="AO13" r:id="rId26"/>
    <hyperlink ref="AP13" r:id="rId27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stopIfTrue="1" operator="containsText" text="&lt;select&gt;" id="{0268E789-4ADC-4EC2-BD61-7D210DF14244}">
            <xm:f>NOT(ISERROR(SEARCH("&lt;select&gt;",'[G-SII template.xlsm]Data'!#REF!)))</xm:f>
            <x14:dxf>
              <fill>
                <patternFill>
                  <bgColor rgb="FFFFC7CE"/>
                </patternFill>
              </fill>
            </x14:dxf>
          </x14:cfRule>
          <xm:sqref>E5:E7</xm:sqref>
        </x14:conditionalFormatting>
        <x14:conditionalFormatting xmlns:xm="http://schemas.microsoft.com/office/excel/2006/main">
          <x14:cfRule type="containsBlanks" priority="1" stopIfTrue="1" id="{9933240F-3B99-4CCA-A56E-A5A66B91B54D}">
            <xm:f>LEN(TRIM('[G-SII template.xlsm]Data'!#REF!))=0</xm:f>
            <x14:dxf>
              <fill>
                <patternFill>
                  <bgColor rgb="FFFFC7CE"/>
                </patternFill>
              </fill>
            </x14:dxf>
          </x14:cfRule>
          <xm:sqref>E5:E7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P230"/>
  <sheetViews>
    <sheetView showGridLines="0" zoomScale="85" zoomScaleNormal="85" workbookViewId="0">
      <selection activeCell="AE13" sqref="AE13"/>
    </sheetView>
  </sheetViews>
  <sheetFormatPr defaultColWidth="0" defaultRowHeight="15" zeroHeight="1" x14ac:dyDescent="0.25"/>
  <cols>
    <col min="1" max="1" width="9.140625" customWidth="1"/>
    <col min="2" max="2" width="5.7109375" style="485" customWidth="1"/>
    <col min="3" max="3" width="50.7109375" style="486" customWidth="1"/>
    <col min="4" max="4" width="10.7109375" style="486" customWidth="1"/>
    <col min="5" max="5" width="25.7109375" style="486" customWidth="1"/>
    <col min="6" max="6" width="24.7109375" style="486" customWidth="1"/>
    <col min="7" max="7" width="10.5703125" style="486" customWidth="1"/>
    <col min="8" max="8" width="17" style="486" customWidth="1"/>
    <col min="9" max="9" width="2.28515625" style="487" customWidth="1"/>
    <col min="10" max="10" width="15.28515625" style="487" customWidth="1"/>
    <col min="11" max="11" width="2.28515625" style="487" customWidth="1"/>
    <col min="12" max="12" width="61.7109375" style="486" customWidth="1"/>
    <col min="13" max="13" width="5.7109375" style="487" customWidth="1"/>
    <col min="14" max="16" width="9.140625" customWidth="1"/>
    <col min="17" max="16384" width="9.140625" hidden="1"/>
  </cols>
  <sheetData>
    <row r="1" spans="2:13" ht="26.25" x14ac:dyDescent="0.25">
      <c r="B1" s="265"/>
      <c r="C1" s="572"/>
      <c r="D1" s="572"/>
      <c r="E1" s="572"/>
      <c r="F1" s="266"/>
      <c r="G1" s="265"/>
      <c r="H1" s="267"/>
      <c r="I1" s="268"/>
      <c r="J1" s="268"/>
      <c r="K1" s="268"/>
      <c r="L1" s="267"/>
      <c r="M1" s="268"/>
    </row>
    <row r="2" spans="2:13" ht="15.75" x14ac:dyDescent="0.25">
      <c r="B2" s="269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1"/>
    </row>
    <row r="3" spans="2:13" x14ac:dyDescent="0.25">
      <c r="B3" s="272"/>
      <c r="C3" s="273"/>
      <c r="D3" s="273"/>
      <c r="E3" s="268"/>
      <c r="F3" s="268"/>
      <c r="G3" s="274"/>
      <c r="H3" s="268"/>
      <c r="I3" s="268"/>
      <c r="J3" s="268"/>
      <c r="K3" s="268"/>
      <c r="L3" s="268"/>
      <c r="M3" s="275"/>
    </row>
    <row r="4" spans="2:13" x14ac:dyDescent="0.25">
      <c r="B4" s="272"/>
      <c r="C4" s="276" t="s">
        <v>1</v>
      </c>
      <c r="D4" s="277"/>
      <c r="E4" s="278"/>
      <c r="F4" s="279" t="s">
        <v>2</v>
      </c>
      <c r="G4" s="280"/>
      <c r="H4" s="281" t="s">
        <v>403</v>
      </c>
      <c r="I4" s="268"/>
      <c r="J4" s="268"/>
      <c r="K4" s="268"/>
      <c r="L4" s="268"/>
      <c r="M4" s="275"/>
    </row>
    <row r="5" spans="2:13" x14ac:dyDescent="0.25">
      <c r="B5" s="272"/>
      <c r="C5" s="282" t="s">
        <v>3</v>
      </c>
      <c r="D5" s="283"/>
      <c r="E5" s="284"/>
      <c r="F5" s="285"/>
      <c r="G5" s="280"/>
      <c r="H5" s="285"/>
      <c r="I5" s="268"/>
      <c r="J5" s="268"/>
      <c r="K5" s="268"/>
      <c r="L5" s="268"/>
      <c r="M5" s="275"/>
    </row>
    <row r="6" spans="2:13" x14ac:dyDescent="0.25">
      <c r="B6" s="272"/>
      <c r="C6" s="286" t="s">
        <v>4</v>
      </c>
      <c r="D6" s="287"/>
      <c r="E6" s="288"/>
      <c r="F6" s="289" t="s">
        <v>5</v>
      </c>
      <c r="G6" s="280" t="s">
        <v>6</v>
      </c>
      <c r="H6" s="290" t="str">
        <f>IF(OR(F6="&lt;select&gt;",ISBLANK(F6)),"Please select a code"," ")</f>
        <v>Please select a code</v>
      </c>
      <c r="I6" s="268"/>
      <c r="J6" s="268"/>
      <c r="K6" s="268"/>
      <c r="L6" s="268"/>
      <c r="M6" s="275"/>
    </row>
    <row r="7" spans="2:13" x14ac:dyDescent="0.25">
      <c r="B7" s="272"/>
      <c r="C7" s="286" t="s">
        <v>7</v>
      </c>
      <c r="D7" s="287"/>
      <c r="E7" s="288"/>
      <c r="F7" s="291"/>
      <c r="G7" s="280" t="s">
        <v>8</v>
      </c>
      <c r="H7" s="292" t="str">
        <f>IF(ISNUMBER(F7),"No numbers please",IF(ISTEXT(F7)," ","Please enter a name"))</f>
        <v>Please enter a name</v>
      </c>
      <c r="I7" s="268"/>
      <c r="J7" s="268"/>
      <c r="K7" s="268"/>
      <c r="L7" s="268"/>
      <c r="M7" s="275"/>
    </row>
    <row r="8" spans="2:13" x14ac:dyDescent="0.25">
      <c r="B8" s="272"/>
      <c r="C8" s="293" t="s">
        <v>9</v>
      </c>
      <c r="D8" s="294"/>
      <c r="E8" s="295"/>
      <c r="F8" s="296"/>
      <c r="G8" s="280" t="s">
        <v>10</v>
      </c>
      <c r="H8" s="292" t="str">
        <f>IF(ISTEXT(F8),"No text please",IF(ISNUMBER(F8)," ", "Please enter a date"))</f>
        <v>Please enter a date</v>
      </c>
      <c r="I8" s="268"/>
      <c r="J8" s="268"/>
      <c r="K8" s="268"/>
      <c r="L8" s="268"/>
      <c r="M8" s="275"/>
    </row>
    <row r="9" spans="2:13" x14ac:dyDescent="0.25">
      <c r="B9" s="272"/>
      <c r="C9" s="297" t="s">
        <v>11</v>
      </c>
      <c r="D9" s="298"/>
      <c r="E9" s="288"/>
      <c r="F9" s="285"/>
      <c r="G9" s="280"/>
      <c r="H9" s="285"/>
      <c r="I9" s="268"/>
      <c r="J9" s="268"/>
      <c r="K9" s="268"/>
      <c r="L9" s="268"/>
      <c r="M9" s="275"/>
    </row>
    <row r="10" spans="2:13" x14ac:dyDescent="0.25">
      <c r="B10" s="272"/>
      <c r="C10" s="286" t="s">
        <v>12</v>
      </c>
      <c r="D10" s="287"/>
      <c r="E10" s="288"/>
      <c r="F10" s="299" t="s">
        <v>5</v>
      </c>
      <c r="G10" s="280" t="s">
        <v>13</v>
      </c>
      <c r="H10" s="292" t="str">
        <f>IF(OR(F10="&lt;select&gt;",ISBLANK(F10)),"Please select a date"," ")</f>
        <v>Please select a date</v>
      </c>
      <c r="I10" s="268"/>
      <c r="J10" s="268"/>
      <c r="K10" s="268"/>
      <c r="L10" s="268"/>
      <c r="M10" s="275"/>
    </row>
    <row r="11" spans="2:13" x14ac:dyDescent="0.25">
      <c r="B11" s="272"/>
      <c r="C11" s="286" t="s">
        <v>14</v>
      </c>
      <c r="D11" s="287"/>
      <c r="E11" s="288"/>
      <c r="F11" s="300" t="s">
        <v>5</v>
      </c>
      <c r="G11" s="280" t="s">
        <v>15</v>
      </c>
      <c r="H11" s="290" t="str">
        <f>IF(OR(F11="&lt;select&gt;",ISBLANK(F11)),"Please select a value"," ")</f>
        <v>Please select a value</v>
      </c>
      <c r="I11" s="268"/>
      <c r="J11" s="268"/>
      <c r="K11" s="268"/>
      <c r="L11" s="268"/>
      <c r="M11" s="275"/>
    </row>
    <row r="12" spans="2:13" x14ac:dyDescent="0.25">
      <c r="B12" s="272"/>
      <c r="C12" s="293" t="s">
        <v>16</v>
      </c>
      <c r="D12" s="294"/>
      <c r="E12" s="301"/>
      <c r="F12" s="302" t="s">
        <v>17</v>
      </c>
      <c r="G12" s="280" t="s">
        <v>18</v>
      </c>
      <c r="H12" s="285"/>
      <c r="I12" s="268"/>
      <c r="J12" s="268"/>
      <c r="K12" s="268"/>
      <c r="L12" s="268"/>
      <c r="M12" s="275"/>
    </row>
    <row r="13" spans="2:13" x14ac:dyDescent="0.25">
      <c r="B13" s="272"/>
      <c r="C13" s="286" t="s">
        <v>19</v>
      </c>
      <c r="D13" s="287"/>
      <c r="E13" s="288"/>
      <c r="F13" s="303" t="s">
        <v>5</v>
      </c>
      <c r="G13" s="280" t="s">
        <v>20</v>
      </c>
      <c r="H13" s="304" t="str">
        <f>IF(OR(F13="&lt;select&gt;",ISBLANK(F13)),"Please select a value"," ")</f>
        <v>Please select a value</v>
      </c>
      <c r="I13" s="268"/>
      <c r="J13" s="268"/>
      <c r="K13" s="268"/>
      <c r="L13" s="268"/>
      <c r="M13" s="275"/>
    </row>
    <row r="14" spans="2:13" x14ac:dyDescent="0.25">
      <c r="B14" s="272"/>
      <c r="C14" s="293" t="s">
        <v>21</v>
      </c>
      <c r="D14" s="294"/>
      <c r="E14" s="295"/>
      <c r="F14" s="305" t="s">
        <v>5</v>
      </c>
      <c r="G14" s="280" t="s">
        <v>22</v>
      </c>
      <c r="H14" s="292" t="str">
        <f>IF(OR(F14="&lt;select&gt;",ISBLANK(F14)),"Please select a value"," ")</f>
        <v>Please select a value</v>
      </c>
      <c r="I14" s="268"/>
      <c r="J14" s="268"/>
      <c r="K14" s="268"/>
      <c r="L14" s="281" t="s">
        <v>404</v>
      </c>
      <c r="M14" s="275"/>
    </row>
    <row r="15" spans="2:13" x14ac:dyDescent="0.25">
      <c r="B15" s="272"/>
      <c r="C15" s="306" t="s">
        <v>23</v>
      </c>
      <c r="D15" s="307"/>
      <c r="E15" s="308"/>
      <c r="F15" s="305"/>
      <c r="G15" s="280" t="s">
        <v>24</v>
      </c>
      <c r="H15" s="309" t="str">
        <f>IF(ISNUMBER(F15),"No numbers please",IF(ISTEXT(F15)," ","Please enter a value"))</f>
        <v>Please enter a value</v>
      </c>
      <c r="I15" s="268"/>
      <c r="J15" s="268"/>
      <c r="K15" s="268"/>
      <c r="L15" s="310"/>
      <c r="M15" s="275"/>
    </row>
    <row r="16" spans="2:13" x14ac:dyDescent="0.25">
      <c r="B16" s="272"/>
      <c r="C16" s="273"/>
      <c r="D16" s="273"/>
      <c r="E16" s="268"/>
      <c r="F16" s="268"/>
      <c r="G16" s="274"/>
      <c r="H16" s="268"/>
      <c r="I16" s="268"/>
      <c r="J16" s="268"/>
      <c r="K16" s="268"/>
      <c r="L16" s="268"/>
      <c r="M16" s="275"/>
    </row>
    <row r="17" spans="2:13" ht="15.75" x14ac:dyDescent="0.25">
      <c r="B17" s="269" t="s">
        <v>25</v>
      </c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1"/>
    </row>
    <row r="18" spans="2:13" x14ac:dyDescent="0.25">
      <c r="B18" s="272"/>
      <c r="C18" s="273"/>
      <c r="D18" s="273"/>
      <c r="E18" s="268"/>
      <c r="F18" s="268"/>
      <c r="G18" s="274"/>
      <c r="H18" s="268"/>
      <c r="I18" s="268"/>
      <c r="J18" s="268"/>
      <c r="K18" s="268"/>
      <c r="L18" s="268"/>
      <c r="M18" s="275"/>
    </row>
    <row r="19" spans="2:13" x14ac:dyDescent="0.25">
      <c r="B19" s="272"/>
      <c r="C19" s="276" t="s">
        <v>26</v>
      </c>
      <c r="D19" s="277"/>
      <c r="E19" s="278"/>
      <c r="F19" s="311" t="s">
        <v>27</v>
      </c>
      <c r="G19" s="312"/>
      <c r="H19" s="281" t="s">
        <v>403</v>
      </c>
      <c r="I19" s="268"/>
      <c r="J19" s="281" t="s">
        <v>405</v>
      </c>
      <c r="K19" s="268"/>
      <c r="L19" s="281" t="s">
        <v>404</v>
      </c>
      <c r="M19" s="275"/>
    </row>
    <row r="20" spans="2:13" x14ac:dyDescent="0.25">
      <c r="B20" s="313"/>
      <c r="C20" s="314" t="s">
        <v>28</v>
      </c>
      <c r="D20" s="315"/>
      <c r="E20" s="288"/>
      <c r="F20" s="316"/>
      <c r="G20" s="280" t="s">
        <v>29</v>
      </c>
      <c r="H20" s="304" t="str">
        <f>IF(ISTEXT(F20),"No text please",IF(F20&lt;0,"No negatives please",IF(ISBLANK(F20),"Please enter a value",IF(AND(F20=0,ISERROR(FIND("zero",J20))),"Please confirm zero",IF(AND(F20&lt;&gt;0,J20="Confirmed zero"),"Value not zero"," ")))))</f>
        <v>Please enter a value</v>
      </c>
      <c r="I20" s="317"/>
      <c r="J20" s="318"/>
      <c r="K20" s="317"/>
      <c r="L20" s="319"/>
      <c r="M20" s="275"/>
    </row>
    <row r="21" spans="2:13" x14ac:dyDescent="0.25">
      <c r="B21" s="313"/>
      <c r="C21" s="320" t="s">
        <v>30</v>
      </c>
      <c r="D21" s="321"/>
      <c r="E21" s="288"/>
      <c r="F21" s="322"/>
      <c r="G21" s="280" t="s">
        <v>31</v>
      </c>
      <c r="H21" s="292" t="str">
        <f>IF(ISTEXT(F21),"No text please",IF(F21&lt;0,"No negatives please",IF(ISBLANK(F21),"Please enter a value",IF(AND(F21=0,ISERROR(FIND("zero",J21))),"Please confirm zero",IF(AND(F21&lt;&gt;0,J21="Confirmed zero"),"Value not zero"," ")))))</f>
        <v>Please enter a value</v>
      </c>
      <c r="I21" s="317"/>
      <c r="J21" s="323"/>
      <c r="K21" s="317"/>
      <c r="L21" s="319"/>
      <c r="M21" s="275"/>
    </row>
    <row r="22" spans="2:13" x14ac:dyDescent="0.25">
      <c r="B22" s="313"/>
      <c r="C22" s="320" t="s">
        <v>32</v>
      </c>
      <c r="D22" s="321"/>
      <c r="E22" s="324"/>
      <c r="F22" s="325"/>
      <c r="G22" s="280" t="s">
        <v>33</v>
      </c>
      <c r="H22" s="292" t="str">
        <f>IF(ISTEXT(F22),"No text please",IF(F22&lt;0,"No negatives please",IF(ISBLANK(F22),"Please enter a value",IF(AND(F22=0,ISERROR(FIND("zero",J22))),"Please confirm zero",IF(AND(F22&lt;&gt;0,J22="Confirmed zero"),"Value not zero"," ")))))</f>
        <v>Please enter a value</v>
      </c>
      <c r="I22" s="317"/>
      <c r="J22" s="323"/>
      <c r="K22" s="317"/>
      <c r="L22" s="319"/>
      <c r="M22" s="275"/>
    </row>
    <row r="23" spans="2:13" x14ac:dyDescent="0.25">
      <c r="B23" s="313"/>
      <c r="C23" s="320" t="s">
        <v>34</v>
      </c>
      <c r="D23" s="321"/>
      <c r="E23" s="324"/>
      <c r="F23" s="322"/>
      <c r="G23" s="280" t="s">
        <v>35</v>
      </c>
      <c r="H23" s="292" t="str">
        <f>IF(ISTEXT(F23),"No text please",IF(F23&lt;0,"No negatives please",IF(ISBLANK(F23),"Please enter a value",IF(AND(F23=0,ISERROR(FIND("zero",J23))),"Please confirm zero",IF(AND(F23&lt;&gt;0,J23="Confirmed zero"),"Value not zero"," ")))))</f>
        <v>Please enter a value</v>
      </c>
      <c r="I23" s="317"/>
      <c r="J23" s="323"/>
      <c r="K23" s="317"/>
      <c r="L23" s="319"/>
      <c r="M23" s="275"/>
    </row>
    <row r="24" spans="2:13" x14ac:dyDescent="0.25">
      <c r="B24" s="326"/>
      <c r="C24" s="327" t="s">
        <v>36</v>
      </c>
      <c r="D24" s="328"/>
      <c r="E24" s="324"/>
      <c r="F24" s="322"/>
      <c r="G24" s="280" t="s">
        <v>37</v>
      </c>
      <c r="H24" s="309" t="str">
        <f>IF(ISTEXT(F24),"No text please",IF(F24&lt;0,"No negatives please",IF(ISBLANK(F24),"Please enter a value",IF(AND(F24=0,ISERROR(FIND("zero",J24))),"Please confirm zero",IF(AND(F24&lt;&gt;0,J24="Confirmed zero"),"Value not zero"," ")))))</f>
        <v>Please enter a value</v>
      </c>
      <c r="I24" s="317"/>
      <c r="J24" s="323"/>
      <c r="K24" s="317"/>
      <c r="L24" s="319"/>
      <c r="M24" s="275"/>
    </row>
    <row r="25" spans="2:13" x14ac:dyDescent="0.25">
      <c r="B25" s="313"/>
      <c r="C25" s="329" t="s">
        <v>38</v>
      </c>
      <c r="D25" s="330"/>
      <c r="E25" s="331"/>
      <c r="F25" s="332" t="str">
        <f>IF(COUNTIF(H20,"&lt;&gt; ")+COUNTIF(H21:H24,"&lt;&gt; ")=0,SUM(F20,F21,F22,MAX((F23-F24),0)),"")</f>
        <v/>
      </c>
      <c r="G25" s="280" t="s">
        <v>39</v>
      </c>
      <c r="H25" s="333"/>
      <c r="I25" s="268"/>
      <c r="J25" s="333"/>
      <c r="K25" s="268"/>
      <c r="L25" s="333"/>
      <c r="M25" s="275"/>
    </row>
    <row r="26" spans="2:13" x14ac:dyDescent="0.25">
      <c r="B26" s="313"/>
      <c r="C26" s="320" t="s">
        <v>40</v>
      </c>
      <c r="D26" s="321"/>
      <c r="E26" s="288"/>
      <c r="F26" s="322"/>
      <c r="G26" s="334" t="s">
        <v>41</v>
      </c>
      <c r="H26" s="304" t="str">
        <f t="shared" ref="H26:H32" si="0">IF(ISTEXT(F26),"No text please",IF(F26&lt;0,"No negatives please",IF(ISBLANK(F26),"Please enter a value",IF(AND(F26=0,ISERROR(FIND("zero",J26))),"Please confirm zero",IF(AND(F26&lt;&gt;0,J26="Confirmed zero"),"Value not zero"," ")))))</f>
        <v>Please enter a value</v>
      </c>
      <c r="I26" s="317"/>
      <c r="J26" s="323"/>
      <c r="K26" s="317"/>
      <c r="L26" s="319"/>
      <c r="M26" s="275"/>
    </row>
    <row r="27" spans="2:13" x14ac:dyDescent="0.25">
      <c r="B27" s="313"/>
      <c r="C27" s="320" t="s">
        <v>42</v>
      </c>
      <c r="D27" s="321"/>
      <c r="E27" s="288"/>
      <c r="F27" s="322"/>
      <c r="G27" s="334" t="s">
        <v>43</v>
      </c>
      <c r="H27" s="292" t="str">
        <f>IF(ISTEXT(F27),"No text please",IF(F27&lt;0,"No negatives please",IF(ISBLANK(F27),"Please enter a value",IF(AND(F27=0,ISERROR(FIND("zero",J27))),"Please confirm zero",IF(AND(F27&lt;&gt;0,J27="Confirmed zero"),"Value not zero",IF($F$27&lt;SUM($F$28:$F$29),"&lt; 2.g.(1) + 2.g.(2)"," "))))))</f>
        <v>Please enter a value</v>
      </c>
      <c r="I27" s="317"/>
      <c r="J27" s="323"/>
      <c r="K27" s="317"/>
      <c r="L27" s="335"/>
      <c r="M27" s="275"/>
    </row>
    <row r="28" spans="2:13" x14ac:dyDescent="0.25">
      <c r="B28" s="313"/>
      <c r="C28" s="327" t="s">
        <v>44</v>
      </c>
      <c r="D28" s="328"/>
      <c r="E28" s="324"/>
      <c r="F28" s="322"/>
      <c r="G28" s="334" t="s">
        <v>45</v>
      </c>
      <c r="H28" s="292" t="str">
        <f>IF(ISTEXT(F28),"No text please",IF(F28&lt;0,"No negatives please",IF(ISBLANK(F28),"Please enter a value",IF(AND(F28=0,ISERROR(FIND("zero",J28))),"Please confirm zero",IF(AND(F28&lt;&gt;0,J28="Confirmed zero"),"Value not zero",IF($F$27&lt;$F$28,"&gt; 2.g."," "))))))</f>
        <v>Please enter a value</v>
      </c>
      <c r="I28" s="317"/>
      <c r="J28" s="323"/>
      <c r="K28" s="317"/>
      <c r="L28" s="319"/>
      <c r="M28" s="275"/>
    </row>
    <row r="29" spans="2:13" x14ac:dyDescent="0.25">
      <c r="B29" s="313"/>
      <c r="C29" s="327" t="s">
        <v>46</v>
      </c>
      <c r="D29" s="328"/>
      <c r="E29" s="324"/>
      <c r="F29" s="322"/>
      <c r="G29" s="334" t="s">
        <v>47</v>
      </c>
      <c r="H29" s="292" t="str">
        <f>IF(ISTEXT(F29),"No text please",IF(F29&lt;0,"No negatives please",IF(ISBLANK(F29),"Please enter a value",IF(AND(F29=0,ISERROR(FIND("zero",J29))),"Please confirm zero",IF(AND(F29&lt;&gt;0,J29="Confirmed zero"),"Value not zero",IF($F$27&lt;$F$29,"&gt; 2.g."," "))))))</f>
        <v>Please enter a value</v>
      </c>
      <c r="I29" s="317"/>
      <c r="J29" s="323"/>
      <c r="K29" s="317"/>
      <c r="L29" s="319"/>
      <c r="M29" s="275"/>
    </row>
    <row r="30" spans="2:13" x14ac:dyDescent="0.25">
      <c r="B30" s="313"/>
      <c r="C30" s="320" t="s">
        <v>48</v>
      </c>
      <c r="D30" s="321"/>
      <c r="E30" s="324"/>
      <c r="F30" s="325"/>
      <c r="G30" s="334" t="s">
        <v>49</v>
      </c>
      <c r="H30" s="292" t="str">
        <f t="shared" si="0"/>
        <v>Please enter a value</v>
      </c>
      <c r="I30" s="317"/>
      <c r="J30" s="323"/>
      <c r="K30" s="317"/>
      <c r="L30" s="319"/>
      <c r="M30" s="275"/>
    </row>
    <row r="31" spans="2:13" x14ac:dyDescent="0.25">
      <c r="B31" s="313"/>
      <c r="C31" s="320" t="s">
        <v>50</v>
      </c>
      <c r="D31" s="321"/>
      <c r="E31" s="324"/>
      <c r="F31" s="322"/>
      <c r="G31" s="334" t="s">
        <v>51</v>
      </c>
      <c r="H31" s="292" t="str">
        <f t="shared" si="0"/>
        <v>Please enter a value</v>
      </c>
      <c r="I31" s="317"/>
      <c r="J31" s="323"/>
      <c r="K31" s="317"/>
      <c r="L31" s="319"/>
      <c r="M31" s="275"/>
    </row>
    <row r="32" spans="2:13" x14ac:dyDescent="0.25">
      <c r="B32" s="313"/>
      <c r="C32" s="320" t="s">
        <v>52</v>
      </c>
      <c r="D32" s="321"/>
      <c r="E32" s="324"/>
      <c r="F32" s="322"/>
      <c r="G32" s="334" t="s">
        <v>53</v>
      </c>
      <c r="H32" s="309" t="str">
        <f t="shared" si="0"/>
        <v>Please enter a value</v>
      </c>
      <c r="I32" s="317"/>
      <c r="J32" s="323"/>
      <c r="K32" s="317"/>
      <c r="L32" s="319"/>
      <c r="M32" s="275"/>
    </row>
    <row r="33" spans="2:13" ht="15" customHeight="1" x14ac:dyDescent="0.25">
      <c r="B33" s="313"/>
      <c r="C33" s="573" t="s">
        <v>54</v>
      </c>
      <c r="D33" s="574"/>
      <c r="E33" s="575"/>
      <c r="F33" s="336"/>
      <c r="G33" s="334"/>
      <c r="H33" s="333"/>
      <c r="I33" s="268"/>
      <c r="J33" s="333"/>
      <c r="K33" s="268"/>
      <c r="L33" s="333"/>
      <c r="M33" s="275"/>
    </row>
    <row r="34" spans="2:13" x14ac:dyDescent="0.25">
      <c r="B34" s="313"/>
      <c r="C34" s="576"/>
      <c r="D34" s="577"/>
      <c r="E34" s="578"/>
      <c r="F34" s="337" t="str">
        <f>IF(COUNTIF(H26,"&lt;&gt; ")+COUNTIF(H27:H32,"&lt;&gt; ")=0,SUM(F26,((F28+F29)*0.1),(F27-(F28+F29)),F30,F31,F32,),"")</f>
        <v/>
      </c>
      <c r="G34" s="334" t="s">
        <v>55</v>
      </c>
      <c r="H34" s="338"/>
      <c r="I34" s="268"/>
      <c r="J34" s="338"/>
      <c r="K34" s="268"/>
      <c r="L34" s="338"/>
      <c r="M34" s="275"/>
    </row>
    <row r="35" spans="2:13" x14ac:dyDescent="0.25">
      <c r="B35" s="326"/>
      <c r="C35" s="320" t="s">
        <v>56</v>
      </c>
      <c r="D35" s="321"/>
      <c r="E35" s="324"/>
      <c r="F35" s="336"/>
      <c r="G35" s="334"/>
      <c r="H35" s="339"/>
      <c r="I35" s="268"/>
      <c r="J35" s="339"/>
      <c r="K35" s="268"/>
      <c r="L35" s="339"/>
      <c r="M35" s="275"/>
    </row>
    <row r="36" spans="2:13" x14ac:dyDescent="0.25">
      <c r="B36" s="326"/>
      <c r="C36" s="327" t="s">
        <v>57</v>
      </c>
      <c r="D36" s="328"/>
      <c r="E36" s="288"/>
      <c r="F36" s="322"/>
      <c r="G36" s="334" t="s">
        <v>58</v>
      </c>
      <c r="H36" s="304" t="str">
        <f t="shared" ref="H36:H50" si="1">IF(ISTEXT(F36),"No text please",IF(F36&lt;0,"No negatives please",IF(ISBLANK(F36),"Please enter a value",IF(AND(F36=0,ISERROR(FIND("zero",J36))),"Please confirm zero",IF(AND(F36&lt;&gt;0,J36="Confirmed zero"),"Value not zero"," ")))))</f>
        <v>Please enter a value</v>
      </c>
      <c r="I36" s="268"/>
      <c r="J36" s="323"/>
      <c r="K36" s="268"/>
      <c r="L36" s="319"/>
      <c r="M36" s="275"/>
    </row>
    <row r="37" spans="2:13" x14ac:dyDescent="0.25">
      <c r="B37" s="326"/>
      <c r="C37" s="327" t="s">
        <v>59</v>
      </c>
      <c r="D37" s="328"/>
      <c r="E37" s="288"/>
      <c r="F37" s="322"/>
      <c r="G37" s="334" t="s">
        <v>60</v>
      </c>
      <c r="H37" s="292" t="str">
        <f t="shared" si="1"/>
        <v>Please enter a value</v>
      </c>
      <c r="I37" s="268"/>
      <c r="J37" s="323"/>
      <c r="K37" s="268"/>
      <c r="L37" s="319"/>
      <c r="M37" s="275"/>
    </row>
    <row r="38" spans="2:13" x14ac:dyDescent="0.25">
      <c r="B38" s="326"/>
      <c r="C38" s="327" t="s">
        <v>61</v>
      </c>
      <c r="D38" s="328"/>
      <c r="E38" s="288"/>
      <c r="F38" s="322"/>
      <c r="G38" s="334" t="s">
        <v>62</v>
      </c>
      <c r="H38" s="292" t="str">
        <f t="shared" si="1"/>
        <v>Please enter a value</v>
      </c>
      <c r="I38" s="268"/>
      <c r="J38" s="323"/>
      <c r="K38" s="268"/>
      <c r="L38" s="319"/>
      <c r="M38" s="275"/>
    </row>
    <row r="39" spans="2:13" x14ac:dyDescent="0.25">
      <c r="B39" s="326"/>
      <c r="C39" s="327" t="s">
        <v>63</v>
      </c>
      <c r="D39" s="328"/>
      <c r="E39" s="288"/>
      <c r="F39" s="322"/>
      <c r="G39" s="334" t="s">
        <v>64</v>
      </c>
      <c r="H39" s="292" t="str">
        <f t="shared" si="1"/>
        <v>Please enter a value</v>
      </c>
      <c r="I39" s="268"/>
      <c r="J39" s="323"/>
      <c r="K39" s="268"/>
      <c r="L39" s="319"/>
      <c r="M39" s="275"/>
    </row>
    <row r="40" spans="2:13" x14ac:dyDescent="0.25">
      <c r="B40" s="326"/>
      <c r="C40" s="327" t="s">
        <v>65</v>
      </c>
      <c r="D40" s="328"/>
      <c r="E40" s="288"/>
      <c r="F40" s="322"/>
      <c r="G40" s="334" t="s">
        <v>66</v>
      </c>
      <c r="H40" s="292" t="str">
        <f t="shared" si="1"/>
        <v>Please enter a value</v>
      </c>
      <c r="I40" s="268"/>
      <c r="J40" s="323"/>
      <c r="K40" s="268"/>
      <c r="L40" s="319"/>
      <c r="M40" s="275"/>
    </row>
    <row r="41" spans="2:13" ht="15.75" x14ac:dyDescent="0.25">
      <c r="B41" s="340"/>
      <c r="C41" s="320" t="s">
        <v>67</v>
      </c>
      <c r="D41" s="321"/>
      <c r="E41" s="288"/>
      <c r="F41" s="325"/>
      <c r="G41" s="334" t="s">
        <v>68</v>
      </c>
      <c r="H41" s="309" t="str">
        <f>IF(ISTEXT(F41),"No text please",IF(ISBLANK(F41),"Please enter a value",IF(AND(F41=0,ISERROR(FIND("zero",J41))),"Please confirm zero",IF(AND(F41&lt;&gt;0,J41="Confirmed zero"),"Value not zero"," "))))</f>
        <v>Please enter a value</v>
      </c>
      <c r="I41" s="268"/>
      <c r="J41" s="323"/>
      <c r="K41" s="268"/>
      <c r="L41" s="335"/>
      <c r="M41" s="275"/>
    </row>
    <row r="42" spans="2:13" ht="15.75" x14ac:dyDescent="0.25">
      <c r="B42" s="340"/>
      <c r="C42" s="320" t="s">
        <v>406</v>
      </c>
      <c r="D42" s="321"/>
      <c r="E42" s="324"/>
      <c r="F42" s="336"/>
      <c r="G42" s="334"/>
      <c r="H42" s="333"/>
      <c r="I42" s="268"/>
      <c r="J42" s="333"/>
      <c r="K42" s="268"/>
      <c r="L42" s="333"/>
      <c r="M42" s="275"/>
    </row>
    <row r="43" spans="2:13" ht="15.75" x14ac:dyDescent="0.25">
      <c r="B43" s="340"/>
      <c r="C43" s="327" t="s">
        <v>407</v>
      </c>
      <c r="D43" s="328"/>
      <c r="E43" s="324"/>
      <c r="F43" s="325"/>
      <c r="G43" s="334" t="s">
        <v>408</v>
      </c>
      <c r="H43" s="304" t="str">
        <f t="shared" si="1"/>
        <v>Please enter a value</v>
      </c>
      <c r="I43" s="268"/>
      <c r="J43" s="323"/>
      <c r="K43" s="268"/>
      <c r="L43" s="335"/>
      <c r="M43" s="275"/>
    </row>
    <row r="44" spans="2:13" ht="15.75" x14ac:dyDescent="0.25">
      <c r="B44" s="340"/>
      <c r="C44" s="327" t="s">
        <v>409</v>
      </c>
      <c r="D44" s="328"/>
      <c r="E44" s="324"/>
      <c r="F44" s="325"/>
      <c r="G44" s="334" t="s">
        <v>410</v>
      </c>
      <c r="H44" s="292" t="str">
        <f t="shared" si="1"/>
        <v>Please enter a value</v>
      </c>
      <c r="I44" s="268"/>
      <c r="J44" s="323"/>
      <c r="K44" s="268"/>
      <c r="L44" s="335"/>
      <c r="M44" s="275"/>
    </row>
    <row r="45" spans="2:13" ht="15.75" x14ac:dyDescent="0.25">
      <c r="B45" s="340"/>
      <c r="C45" s="327" t="s">
        <v>411</v>
      </c>
      <c r="D45" s="328"/>
      <c r="E45" s="324"/>
      <c r="F45" s="325"/>
      <c r="G45" s="334" t="s">
        <v>412</v>
      </c>
      <c r="H45" s="292" t="str">
        <f t="shared" si="1"/>
        <v>Please enter a value</v>
      </c>
      <c r="I45" s="268"/>
      <c r="J45" s="323"/>
      <c r="K45" s="268"/>
      <c r="L45" s="335"/>
      <c r="M45" s="275"/>
    </row>
    <row r="46" spans="2:13" ht="15.75" x14ac:dyDescent="0.25">
      <c r="B46" s="340"/>
      <c r="C46" s="327" t="s">
        <v>413</v>
      </c>
      <c r="D46" s="328"/>
      <c r="E46" s="324"/>
      <c r="F46" s="325"/>
      <c r="G46" s="334" t="s">
        <v>414</v>
      </c>
      <c r="H46" s="292" t="str">
        <f t="shared" si="1"/>
        <v>Please enter a value</v>
      </c>
      <c r="I46" s="268"/>
      <c r="J46" s="323"/>
      <c r="K46" s="268"/>
      <c r="L46" s="335"/>
      <c r="M46" s="275"/>
    </row>
    <row r="47" spans="2:13" ht="15.75" customHeight="1" x14ac:dyDescent="0.25">
      <c r="B47" s="340"/>
      <c r="C47" s="579" t="s">
        <v>415</v>
      </c>
      <c r="D47" s="580"/>
      <c r="E47" s="581"/>
      <c r="F47" s="336"/>
      <c r="G47" s="334"/>
      <c r="H47" s="285"/>
      <c r="I47" s="268"/>
      <c r="J47" s="333"/>
      <c r="K47" s="268"/>
      <c r="L47" s="333"/>
      <c r="M47" s="275"/>
    </row>
    <row r="48" spans="2:13" ht="15.75" x14ac:dyDescent="0.25">
      <c r="B48" s="340"/>
      <c r="C48" s="582"/>
      <c r="D48" s="583"/>
      <c r="E48" s="584"/>
      <c r="F48" s="325"/>
      <c r="G48" s="334" t="s">
        <v>416</v>
      </c>
      <c r="H48" s="290" t="str">
        <f>IF(ISTEXT(F48),"No text please",IF(F48&lt;0,"No negatives please",IF(ISBLANK(F48),"Please enter a value",IF(AND(F48=0,ISERROR(FIND("zero",J48))),"Please confirm zero",IF(AND(F48&lt;&gt;0,J48="Confirmed zero"),"Value not zero"," ")))))</f>
        <v>Please enter a value</v>
      </c>
      <c r="I48" s="268"/>
      <c r="J48" s="323"/>
      <c r="K48" s="268"/>
      <c r="L48" s="335"/>
      <c r="M48" s="275"/>
    </row>
    <row r="49" spans="2:13" ht="15.75" customHeight="1" x14ac:dyDescent="0.25">
      <c r="B49" s="340"/>
      <c r="C49" s="579" t="s">
        <v>417</v>
      </c>
      <c r="D49" s="580"/>
      <c r="E49" s="581"/>
      <c r="F49" s="336"/>
      <c r="G49" s="334"/>
      <c r="H49" s="285"/>
      <c r="I49" s="268"/>
      <c r="J49" s="333"/>
      <c r="K49" s="268"/>
      <c r="L49" s="333"/>
      <c r="M49" s="275"/>
    </row>
    <row r="50" spans="2:13" ht="15.75" x14ac:dyDescent="0.25">
      <c r="B50" s="340"/>
      <c r="C50" s="582"/>
      <c r="D50" s="583"/>
      <c r="E50" s="584"/>
      <c r="F50" s="325"/>
      <c r="G50" s="334" t="s">
        <v>418</v>
      </c>
      <c r="H50" s="341" t="str">
        <f t="shared" si="1"/>
        <v>Please enter a value</v>
      </c>
      <c r="I50" s="268"/>
      <c r="J50" s="323"/>
      <c r="K50" s="268"/>
      <c r="L50" s="335"/>
      <c r="M50" s="275"/>
    </row>
    <row r="51" spans="2:13" ht="15.75" x14ac:dyDescent="0.25">
      <c r="B51" s="340"/>
      <c r="C51" s="327" t="s">
        <v>419</v>
      </c>
      <c r="D51" s="328"/>
      <c r="E51" s="324"/>
      <c r="F51" s="325"/>
      <c r="G51" s="334" t="s">
        <v>420</v>
      </c>
      <c r="H51" s="342" t="str">
        <f>IF(ISTEXT(F51),"No text please",IF(F51&lt;0,"No negatives please",IF(ISBLANK(F51),"Please enter a value",IF(AND(F51=0,ISERROR(FIND("zero",J51))),"Please confirm zero",IF(AND(F51&lt;&gt;0,J51="Confirmed zero"),"Value not zero"," ")))))</f>
        <v>Please enter a value</v>
      </c>
      <c r="I51" s="268"/>
      <c r="J51" s="323"/>
      <c r="K51" s="268"/>
      <c r="L51" s="335"/>
      <c r="M51" s="275"/>
    </row>
    <row r="52" spans="2:13" ht="15.75" customHeight="1" x14ac:dyDescent="0.25">
      <c r="B52" s="343"/>
      <c r="C52" s="585" t="s">
        <v>69</v>
      </c>
      <c r="D52" s="586"/>
      <c r="E52" s="587"/>
      <c r="F52" s="344" t="str">
        <f>IF(AND(COUNTIF(H36:H41,"&lt;&gt; ")=0,ISNUMBER(F25),ISNUMBER(F34)),SUM(F25,F34,F36:F37,F38*0.1,F39,-F40,-F41),"")</f>
        <v/>
      </c>
      <c r="G52" s="334" t="s">
        <v>70</v>
      </c>
      <c r="H52" s="268"/>
      <c r="I52" s="268"/>
      <c r="J52" s="268"/>
      <c r="K52" s="268"/>
      <c r="L52" s="268"/>
      <c r="M52" s="275"/>
    </row>
    <row r="53" spans="2:13" ht="19.5" x14ac:dyDescent="0.25">
      <c r="B53" s="345"/>
      <c r="C53" s="346"/>
      <c r="D53" s="346"/>
      <c r="E53" s="347"/>
      <c r="F53" s="348"/>
      <c r="G53" s="349"/>
      <c r="H53" s="350"/>
      <c r="I53" s="350"/>
      <c r="J53" s="351"/>
      <c r="K53" s="350"/>
      <c r="L53" s="350"/>
      <c r="M53" s="352"/>
    </row>
    <row r="54" spans="2:13" ht="15.75" x14ac:dyDescent="0.25">
      <c r="B54" s="269" t="s">
        <v>71</v>
      </c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1"/>
    </row>
    <row r="55" spans="2:13" ht="19.5" x14ac:dyDescent="0.25">
      <c r="B55" s="353"/>
      <c r="C55" s="354"/>
      <c r="D55" s="354"/>
      <c r="E55" s="355"/>
      <c r="F55" s="356"/>
      <c r="G55" s="357"/>
      <c r="H55" s="356"/>
      <c r="I55" s="268"/>
      <c r="J55" s="358"/>
      <c r="K55" s="268"/>
      <c r="L55" s="356"/>
      <c r="M55" s="275"/>
    </row>
    <row r="56" spans="2:13" x14ac:dyDescent="0.25">
      <c r="B56" s="272"/>
      <c r="C56" s="276" t="s">
        <v>72</v>
      </c>
      <c r="D56" s="277"/>
      <c r="E56" s="278"/>
      <c r="F56" s="512" t="str">
        <f>F$19</f>
        <v>Amount</v>
      </c>
      <c r="G56" s="312"/>
      <c r="H56" s="281" t="str">
        <f>H$19</f>
        <v>Checks</v>
      </c>
      <c r="I56" s="268"/>
      <c r="J56" s="281" t="str">
        <f>J$19</f>
        <v>Remarks</v>
      </c>
      <c r="K56" s="268"/>
      <c r="L56" s="281" t="str">
        <f>L$19</f>
        <v>Comments</v>
      </c>
      <c r="M56" s="275"/>
    </row>
    <row r="57" spans="2:13" x14ac:dyDescent="0.25">
      <c r="B57" s="359"/>
      <c r="C57" s="314" t="s">
        <v>73</v>
      </c>
      <c r="D57" s="360"/>
      <c r="E57" s="361"/>
      <c r="F57" s="322"/>
      <c r="G57" s="280" t="s">
        <v>74</v>
      </c>
      <c r="H57" s="304" t="str">
        <f>IF(ISTEXT(F57),"No text please",IF(F57&lt;0,"No negatives please",IF(ISBLANK(F57),"Please enter a value",IF(AND(F57=0,ISERROR(FIND("zero",J57))),"Please confirm zero",IF(AND(F57&lt;&gt;0,J57="Confirmed zero"),"Value not zero",IF($F$57&lt;$F$58,"&lt; 3.a.(1)"," "))))))</f>
        <v>Please enter a value</v>
      </c>
      <c r="I57" s="362"/>
      <c r="J57" s="323"/>
      <c r="K57" s="362"/>
      <c r="L57" s="319"/>
      <c r="M57" s="363"/>
    </row>
    <row r="58" spans="2:13" x14ac:dyDescent="0.25">
      <c r="B58" s="359"/>
      <c r="C58" s="327" t="s">
        <v>75</v>
      </c>
      <c r="D58" s="328"/>
      <c r="E58" s="288"/>
      <c r="F58" s="322"/>
      <c r="G58" s="280" t="s">
        <v>76</v>
      </c>
      <c r="H58" s="292" t="str">
        <f>IF(ISTEXT(F58),"No text please",IF(F58&lt;0,"No negatives please",IF(ISBLANK(F58),"Please enter a value",IF(AND(F58=0,ISERROR(FIND("zero",J58))),"Please confirm zero",IF(AND(F58&lt;&gt;0,J58="Confirmed zero"),"Value not zero",IF($F$57&lt;$F$58,"&gt; 3.a."," "))))))</f>
        <v>Please enter a value</v>
      </c>
      <c r="I58" s="362"/>
      <c r="J58" s="323"/>
      <c r="K58" s="362"/>
      <c r="L58" s="319"/>
      <c r="M58" s="363"/>
    </row>
    <row r="59" spans="2:13" x14ac:dyDescent="0.25">
      <c r="B59" s="359"/>
      <c r="C59" s="320" t="s">
        <v>77</v>
      </c>
      <c r="D59" s="321"/>
      <c r="E59" s="288"/>
      <c r="F59" s="322"/>
      <c r="G59" s="280" t="s">
        <v>78</v>
      </c>
      <c r="H59" s="309" t="str">
        <f>IF(ISTEXT(F59),"No text please",IF(F59&lt;0,"No negatives please",IF(ISBLANK(F59),"Please enter a value",IF(AND(F59=0,ISERROR(FIND("zero",J59))),"Please confirm zero",IF(AND(F59&lt;&gt;0,J59="Confirmed zero"),"Value not zero"," ")))))</f>
        <v>Please enter a value</v>
      </c>
      <c r="I59" s="362"/>
      <c r="J59" s="323"/>
      <c r="K59" s="362"/>
      <c r="L59" s="319"/>
      <c r="M59" s="363"/>
    </row>
    <row r="60" spans="2:13" x14ac:dyDescent="0.25">
      <c r="B60" s="359"/>
      <c r="C60" s="320" t="s">
        <v>79</v>
      </c>
      <c r="D60" s="321"/>
      <c r="E60" s="288"/>
      <c r="F60" s="285"/>
      <c r="G60" s="280"/>
      <c r="H60" s="285"/>
      <c r="I60" s="268"/>
      <c r="J60" s="285"/>
      <c r="K60" s="268"/>
      <c r="L60" s="285"/>
      <c r="M60" s="275"/>
    </row>
    <row r="61" spans="2:13" x14ac:dyDescent="0.25">
      <c r="B61" s="359"/>
      <c r="C61" s="327" t="s">
        <v>80</v>
      </c>
      <c r="D61" s="328"/>
      <c r="E61" s="288"/>
      <c r="F61" s="322"/>
      <c r="G61" s="280" t="s">
        <v>81</v>
      </c>
      <c r="H61" s="304" t="str">
        <f t="shared" ref="H61:H67" si="2">IF(ISTEXT(F61),"No text please",IF(F61&lt;0,"No negatives please",IF(ISBLANK(F61),"Please enter a value",IF(AND(F61=0,ISERROR(FIND("zero",J61))),"Please confirm zero",IF(AND(F61&lt;&gt;0,J61="Confirmed zero"),"Value not zero"," ")))))</f>
        <v>Please enter a value</v>
      </c>
      <c r="I61" s="362"/>
      <c r="J61" s="323"/>
      <c r="K61" s="362"/>
      <c r="L61" s="319"/>
      <c r="M61" s="363"/>
    </row>
    <row r="62" spans="2:13" x14ac:dyDescent="0.25">
      <c r="B62" s="359"/>
      <c r="C62" s="327" t="s">
        <v>82</v>
      </c>
      <c r="D62" s="328"/>
      <c r="E62" s="288"/>
      <c r="F62" s="322"/>
      <c r="G62" s="280" t="s">
        <v>83</v>
      </c>
      <c r="H62" s="292" t="str">
        <f t="shared" si="2"/>
        <v>Please enter a value</v>
      </c>
      <c r="I62" s="362"/>
      <c r="J62" s="323"/>
      <c r="K62" s="362"/>
      <c r="L62" s="319"/>
      <c r="M62" s="363"/>
    </row>
    <row r="63" spans="2:13" x14ac:dyDescent="0.25">
      <c r="B63" s="359"/>
      <c r="C63" s="327" t="s">
        <v>84</v>
      </c>
      <c r="D63" s="328"/>
      <c r="E63" s="288"/>
      <c r="F63" s="322"/>
      <c r="G63" s="280" t="s">
        <v>85</v>
      </c>
      <c r="H63" s="292" t="str">
        <f t="shared" si="2"/>
        <v>Please enter a value</v>
      </c>
      <c r="I63" s="362"/>
      <c r="J63" s="323"/>
      <c r="K63" s="362"/>
      <c r="L63" s="319"/>
      <c r="M63" s="363"/>
    </row>
    <row r="64" spans="2:13" x14ac:dyDescent="0.25">
      <c r="B64" s="359"/>
      <c r="C64" s="327" t="s">
        <v>86</v>
      </c>
      <c r="D64" s="328"/>
      <c r="E64" s="288"/>
      <c r="F64" s="322"/>
      <c r="G64" s="280" t="s">
        <v>87</v>
      </c>
      <c r="H64" s="292" t="str">
        <f t="shared" si="2"/>
        <v>Please enter a value</v>
      </c>
      <c r="I64" s="362"/>
      <c r="J64" s="323"/>
      <c r="K64" s="362"/>
      <c r="L64" s="319"/>
      <c r="M64" s="363"/>
    </row>
    <row r="65" spans="2:13" x14ac:dyDescent="0.25">
      <c r="B65" s="359"/>
      <c r="C65" s="327" t="s">
        <v>88</v>
      </c>
      <c r="D65" s="328"/>
      <c r="E65" s="288"/>
      <c r="F65" s="322"/>
      <c r="G65" s="280" t="s">
        <v>89</v>
      </c>
      <c r="H65" s="292" t="str">
        <f>IF(ISTEXT(F65),"No text please",IF(F65&lt;0,"No negatives please",IF(ISBLANK(F65),"Please enter a value",IF(AND(F65=0,ISERROR(FIND("zero",J65))),"Please confirm zero",IF(AND(F65&lt;&gt;0,J65="Confirmed zero"),"Value not zero",IF($F$65&lt;$F$66,"&lt; 3.c.(6)"," "))))))</f>
        <v>Please enter a value</v>
      </c>
      <c r="I65" s="362"/>
      <c r="J65" s="323"/>
      <c r="K65" s="362"/>
      <c r="L65" s="335"/>
      <c r="M65" s="363"/>
    </row>
    <row r="66" spans="2:13" x14ac:dyDescent="0.25">
      <c r="B66" s="359"/>
      <c r="C66" s="364" t="s">
        <v>90</v>
      </c>
      <c r="D66" s="365"/>
      <c r="E66" s="288"/>
      <c r="F66" s="322"/>
      <c r="G66" s="280" t="s">
        <v>91</v>
      </c>
      <c r="H66" s="292" t="str">
        <f>IF(ISTEXT(F66),"No text please",IF(F66&lt;0,"No negatives please",IF(ISBLANK(F66),"Please enter a value",IF(AND(F66=0,ISERROR(FIND("zero",J66))),"Please confirm zero",IF(AND(F66&lt;&gt;0,J66="Confirmed zero"),"Value not zero",IF($F$65&lt;$F$66,"&gt; 3.c.(5)"," "))))))</f>
        <v>Please enter a value</v>
      </c>
      <c r="I66" s="362"/>
      <c r="J66" s="323"/>
      <c r="K66" s="362"/>
      <c r="L66" s="335"/>
      <c r="M66" s="363"/>
    </row>
    <row r="67" spans="2:13" x14ac:dyDescent="0.25">
      <c r="B67" s="359"/>
      <c r="C67" s="320" t="s">
        <v>92</v>
      </c>
      <c r="D67" s="321"/>
      <c r="E67" s="288"/>
      <c r="F67" s="322"/>
      <c r="G67" s="280" t="s">
        <v>93</v>
      </c>
      <c r="H67" s="309" t="str">
        <f t="shared" si="2"/>
        <v>Please enter a value</v>
      </c>
      <c r="I67" s="362"/>
      <c r="J67" s="323"/>
      <c r="K67" s="362"/>
      <c r="L67" s="319"/>
      <c r="M67" s="363"/>
    </row>
    <row r="68" spans="2:13" x14ac:dyDescent="0.25">
      <c r="B68" s="359"/>
      <c r="C68" s="320" t="s">
        <v>94</v>
      </c>
      <c r="D68" s="321"/>
      <c r="E68" s="288"/>
      <c r="F68" s="285"/>
      <c r="G68" s="280"/>
      <c r="H68" s="285"/>
      <c r="I68" s="268"/>
      <c r="J68" s="285"/>
      <c r="K68" s="268"/>
      <c r="L68" s="285"/>
      <c r="M68" s="275"/>
    </row>
    <row r="69" spans="2:13" x14ac:dyDescent="0.25">
      <c r="B69" s="359"/>
      <c r="C69" s="327" t="s">
        <v>95</v>
      </c>
      <c r="D69" s="328"/>
      <c r="E69" s="288"/>
      <c r="F69" s="322"/>
      <c r="G69" s="280" t="s">
        <v>96</v>
      </c>
      <c r="H69" s="304" t="str">
        <f>IF(ISTEXT(F69),"No text please",IF(F69&lt;0,"No negatives please",IF(ISBLANK(F69),"Please enter a value",IF(AND(F69=0,ISERROR(FIND("zero",J69))),"Please confirm zero",IF(AND(F69&lt;&gt;0,J69="Confirmed zero"),"Value not zero"," ")))))</f>
        <v>Please enter a value</v>
      </c>
      <c r="I69" s="362"/>
      <c r="J69" s="323"/>
      <c r="K69" s="362"/>
      <c r="L69" s="319"/>
      <c r="M69" s="363"/>
    </row>
    <row r="70" spans="2:13" x14ac:dyDescent="0.25">
      <c r="B70" s="359"/>
      <c r="C70" s="366" t="s">
        <v>97</v>
      </c>
      <c r="D70" s="367"/>
      <c r="E70" s="368"/>
      <c r="F70" s="322"/>
      <c r="G70" s="280" t="s">
        <v>98</v>
      </c>
      <c r="H70" s="309" t="str">
        <f>IF(ISTEXT(F70),"No text please",IF(F70&lt;0,"No negatives please",IF(ISBLANK(F70),"Please enter a value",IF(AND(F70=0,ISERROR(FIND("zero",J70))),"Please confirm zero",IF(AND(F70&lt;&gt;0,J70="Confirmed zero"),"Value not zero"," ")))))</f>
        <v>Please enter a value</v>
      </c>
      <c r="I70" s="362"/>
      <c r="J70" s="323"/>
      <c r="K70" s="362"/>
      <c r="L70" s="319"/>
      <c r="M70" s="363"/>
    </row>
    <row r="71" spans="2:13" ht="15" customHeight="1" x14ac:dyDescent="0.25">
      <c r="B71" s="359"/>
      <c r="C71" s="588" t="s">
        <v>99</v>
      </c>
      <c r="D71" s="589"/>
      <c r="E71" s="590"/>
      <c r="F71" s="336"/>
      <c r="G71" s="280"/>
      <c r="H71" s="268"/>
      <c r="I71" s="268"/>
      <c r="J71" s="268"/>
      <c r="K71" s="268"/>
      <c r="L71" s="268"/>
      <c r="M71" s="363"/>
    </row>
    <row r="72" spans="2:13" x14ac:dyDescent="0.25">
      <c r="B72" s="359"/>
      <c r="C72" s="591"/>
      <c r="D72" s="592"/>
      <c r="E72" s="593"/>
      <c r="F72" s="344" t="str">
        <f>IF(COUNTIF(H57:H59,"&lt;&gt; ")+COUNTIF(H61:H67,"&lt;&gt; ")+COUNTIF(H69:H70,"&lt;&gt; ")=0,F57+F59+SUM(F61:F64)+MAX((F65-F66),0)+F67+F69+F70,"")</f>
        <v/>
      </c>
      <c r="G72" s="280" t="s">
        <v>100</v>
      </c>
      <c r="H72" s="268"/>
      <c r="I72" s="268"/>
      <c r="J72" s="268"/>
      <c r="K72" s="268"/>
      <c r="L72" s="268"/>
      <c r="M72" s="275"/>
    </row>
    <row r="73" spans="2:13" ht="19.5" x14ac:dyDescent="0.25">
      <c r="B73" s="353"/>
      <c r="C73" s="354"/>
      <c r="D73" s="354"/>
      <c r="E73" s="355"/>
      <c r="F73" s="356"/>
      <c r="G73" s="280"/>
      <c r="H73" s="356"/>
      <c r="I73" s="268"/>
      <c r="J73" s="358"/>
      <c r="K73" s="268"/>
      <c r="L73" s="356"/>
      <c r="M73" s="275"/>
    </row>
    <row r="74" spans="2:13" x14ac:dyDescent="0.25">
      <c r="B74" s="272"/>
      <c r="C74" s="276" t="s">
        <v>101</v>
      </c>
      <c r="D74" s="277"/>
      <c r="E74" s="278"/>
      <c r="F74" s="512" t="str">
        <f>F$19</f>
        <v>Amount</v>
      </c>
      <c r="G74" s="312"/>
      <c r="H74" s="281" t="str">
        <f>H$19</f>
        <v>Checks</v>
      </c>
      <c r="I74" s="268"/>
      <c r="J74" s="281" t="str">
        <f>J$19</f>
        <v>Remarks</v>
      </c>
      <c r="K74" s="268"/>
      <c r="L74" s="281" t="str">
        <f>L$19</f>
        <v>Comments</v>
      </c>
      <c r="M74" s="275"/>
    </row>
    <row r="75" spans="2:13" ht="15.75" x14ac:dyDescent="0.25">
      <c r="B75" s="343"/>
      <c r="C75" s="314" t="s">
        <v>102</v>
      </c>
      <c r="D75" s="360"/>
      <c r="E75" s="361"/>
      <c r="F75" s="322"/>
      <c r="G75" s="280" t="s">
        <v>103</v>
      </c>
      <c r="H75" s="304" t="str">
        <f>IF(ISTEXT(F75),"No text please",IF(F75&lt;0,"No negatives please",IF(ISBLANK(F75),"Please enter a value",IF(AND(F75=0,ISERROR(FIND("zero",J75))),"Please confirm zero",IF(AND(F75&lt;&gt;0,J75="Confirmed zero"),"Value not zero"," ")))))</f>
        <v>Please enter a value</v>
      </c>
      <c r="I75" s="362"/>
      <c r="J75" s="323"/>
      <c r="K75" s="362"/>
      <c r="L75" s="335"/>
      <c r="M75" s="363"/>
    </row>
    <row r="76" spans="2:13" ht="15.75" x14ac:dyDescent="0.25">
      <c r="B76" s="343"/>
      <c r="C76" s="320" t="s">
        <v>104</v>
      </c>
      <c r="D76" s="321"/>
      <c r="E76" s="288"/>
      <c r="F76" s="322"/>
      <c r="G76" s="280" t="s">
        <v>105</v>
      </c>
      <c r="H76" s="292" t="str">
        <f>IF(ISTEXT(F76),"No text please",IF(F76&lt;0,"No negatives please",IF(ISBLANK(F76),"Please enter a value",IF(AND(F76=0,ISERROR(FIND("zero",J76))),"Please confirm zero",IF(AND(F76&lt;&gt;0,J76="Confirmed zero"),"Value not zero"," ")))))</f>
        <v>Please enter a value</v>
      </c>
      <c r="I76" s="362"/>
      <c r="J76" s="323"/>
      <c r="K76" s="362"/>
      <c r="L76" s="335"/>
      <c r="M76" s="363"/>
    </row>
    <row r="77" spans="2:13" ht="15.75" x14ac:dyDescent="0.25">
      <c r="B77" s="343"/>
      <c r="C77" s="320" t="s">
        <v>106</v>
      </c>
      <c r="D77" s="321"/>
      <c r="E77" s="288"/>
      <c r="F77" s="322"/>
      <c r="G77" s="280" t="s">
        <v>107</v>
      </c>
      <c r="H77" s="292" t="str">
        <f>IF(ISTEXT(F77),"No text please",IF(F77&lt;0,"No negatives please",IF(ISBLANK(F77),"Please enter a value",IF(AND(F77=0,ISERROR(FIND("zero",J77))),"Please confirm zero",IF(AND(F77&lt;&gt;0,J77="Confirmed zero"),"Value not zero"," ")))))</f>
        <v>Please enter a value</v>
      </c>
      <c r="I77" s="362"/>
      <c r="J77" s="323"/>
      <c r="K77" s="362"/>
      <c r="L77" s="319"/>
      <c r="M77" s="363"/>
    </row>
    <row r="78" spans="2:13" ht="15.75" x14ac:dyDescent="0.25">
      <c r="B78" s="343"/>
      <c r="C78" s="320" t="s">
        <v>108</v>
      </c>
      <c r="D78" s="321"/>
      <c r="E78" s="288"/>
      <c r="F78" s="322"/>
      <c r="G78" s="280" t="s">
        <v>109</v>
      </c>
      <c r="H78" s="309" t="str">
        <f>IF(ISTEXT(F78),"No text please",IF(F78&lt;0,"No negatives please",IF(ISBLANK(F78),"Please enter a value",IF(AND(F78=0,ISERROR(FIND("zero",J78))),"Please confirm zero",IF(AND(F78&lt;&gt;0,J78="Confirmed zero"),"Value not zero"," ")))))</f>
        <v>Please enter a value</v>
      </c>
      <c r="I78" s="362"/>
      <c r="J78" s="323"/>
      <c r="K78" s="362"/>
      <c r="L78" s="319"/>
      <c r="M78" s="363"/>
    </row>
    <row r="79" spans="2:13" ht="15.75" x14ac:dyDescent="0.25">
      <c r="B79" s="343"/>
      <c r="C79" s="320" t="s">
        <v>110</v>
      </c>
      <c r="D79" s="321"/>
      <c r="E79" s="288"/>
      <c r="F79" s="285"/>
      <c r="G79" s="280"/>
      <c r="H79" s="285"/>
      <c r="I79" s="268"/>
      <c r="J79" s="285"/>
      <c r="K79" s="268"/>
      <c r="L79" s="285"/>
      <c r="M79" s="275"/>
    </row>
    <row r="80" spans="2:13" ht="15.75" x14ac:dyDescent="0.25">
      <c r="B80" s="343"/>
      <c r="C80" s="327" t="s">
        <v>111</v>
      </c>
      <c r="D80" s="328"/>
      <c r="E80" s="288"/>
      <c r="F80" s="322"/>
      <c r="G80" s="280" t="s">
        <v>112</v>
      </c>
      <c r="H80" s="304" t="str">
        <f>IF(ISTEXT(F80),"No text please",IF(F80&lt;0,"No negatives please",IF(ISBLANK(F80),"Please enter a value",IF(AND(F80=0,ISERROR(FIND("zero",J80))),"Please confirm zero",IF(AND(F80&lt;&gt;0,J80="Confirmed zero"),"Value not zero"," ")))))</f>
        <v>Please enter a value</v>
      </c>
      <c r="I80" s="362"/>
      <c r="J80" s="323"/>
      <c r="K80" s="362"/>
      <c r="L80" s="319"/>
      <c r="M80" s="363"/>
    </row>
    <row r="81" spans="2:13" ht="15.75" x14ac:dyDescent="0.25">
      <c r="B81" s="343"/>
      <c r="C81" s="327" t="s">
        <v>97</v>
      </c>
      <c r="D81" s="328"/>
      <c r="E81" s="288"/>
      <c r="F81" s="322"/>
      <c r="G81" s="280" t="s">
        <v>113</v>
      </c>
      <c r="H81" s="309" t="str">
        <f>IF(ISTEXT(F81),"No text please",IF(F81&lt;0,"No negatives please",IF(ISBLANK(F81),"Please enter a value",IF(AND(F81=0,ISERROR(FIND("zero",J81))),"Please confirm zero",IF(AND(F81&lt;&gt;0,J81="Confirmed zero"),"Value not zero"," ")))))</f>
        <v>Please enter a value</v>
      </c>
      <c r="I81" s="362"/>
      <c r="J81" s="323"/>
      <c r="K81" s="362"/>
      <c r="L81" s="319"/>
      <c r="M81" s="363"/>
    </row>
    <row r="82" spans="2:13" ht="15.75" x14ac:dyDescent="0.25">
      <c r="B82" s="340"/>
      <c r="C82" s="320" t="s">
        <v>421</v>
      </c>
      <c r="D82" s="321"/>
      <c r="E82" s="288"/>
      <c r="F82" s="336"/>
      <c r="G82" s="334"/>
      <c r="H82" s="333"/>
      <c r="I82" s="268"/>
      <c r="J82" s="333"/>
      <c r="K82" s="268"/>
      <c r="L82" s="333"/>
      <c r="M82" s="275"/>
    </row>
    <row r="83" spans="2:13" ht="15.75" x14ac:dyDescent="0.25">
      <c r="B83" s="340"/>
      <c r="C83" s="327" t="s">
        <v>422</v>
      </c>
      <c r="D83" s="328"/>
      <c r="E83" s="324"/>
      <c r="F83" s="325"/>
      <c r="G83" s="334" t="s">
        <v>423</v>
      </c>
      <c r="H83" s="342" t="str">
        <f>IF(ISTEXT(F83),"No text please",IF(F83&lt;0,"No negatives please",IF(ISBLANK(F83),"Please enter a value",IF(AND(F83=0,ISERROR(FIND("zero",J83))),"Please confirm zero",IF(AND(F83&lt;&gt;0,J83="Confirmed zero"),"Value not zero"," ")))))</f>
        <v>Please enter a value</v>
      </c>
      <c r="I83" s="268"/>
      <c r="J83" s="323"/>
      <c r="K83" s="268"/>
      <c r="L83" s="335"/>
      <c r="M83" s="275"/>
    </row>
    <row r="84" spans="2:13" ht="15.75" x14ac:dyDescent="0.25">
      <c r="B84" s="340"/>
      <c r="C84" s="327" t="s">
        <v>424</v>
      </c>
      <c r="D84" s="328"/>
      <c r="E84" s="324"/>
      <c r="F84" s="325"/>
      <c r="G84" s="334" t="s">
        <v>425</v>
      </c>
      <c r="H84" s="342" t="str">
        <f>IF(ISTEXT(F84),"No text please",IF(F84&lt;0,"No negatives please",IF(ISBLANK(F84),"Please enter a value",IF(AND(F84=0,ISERROR(FIND("zero",J84))),"Please confirm zero",IF(AND(F84&lt;&gt;0,J84="Confirmed zero"),"Value not zero",IF(SUM($F$75,$F$76)&lt;$F$84,"&gt; 4.a. + 4.b."," "))))))</f>
        <v>Please enter a value</v>
      </c>
      <c r="I84" s="268"/>
      <c r="J84" s="323"/>
      <c r="K84" s="268"/>
      <c r="L84" s="335"/>
      <c r="M84" s="275"/>
    </row>
    <row r="85" spans="2:13" ht="15.75" x14ac:dyDescent="0.25">
      <c r="B85" s="343"/>
      <c r="C85" s="369" t="s">
        <v>114</v>
      </c>
      <c r="D85" s="370"/>
      <c r="E85" s="513"/>
      <c r="F85" s="344" t="str">
        <f>IF(COUNTIF(H75:H78,"&lt;&gt; ")+COUNTIF(H80:H81,"&lt;&gt; ")=0,SUM(F75:F77)+F78+F80+F81,"")</f>
        <v/>
      </c>
      <c r="G85" s="280" t="s">
        <v>115</v>
      </c>
      <c r="H85" s="268"/>
      <c r="I85" s="268"/>
      <c r="J85" s="268"/>
      <c r="K85" s="268"/>
      <c r="L85" s="268"/>
      <c r="M85" s="275"/>
    </row>
    <row r="86" spans="2:13" ht="19.5" x14ac:dyDescent="0.25">
      <c r="B86" s="353"/>
      <c r="C86" s="371"/>
      <c r="D86" s="371"/>
      <c r="E86" s="372"/>
      <c r="F86" s="373"/>
      <c r="G86" s="357"/>
      <c r="H86" s="374"/>
      <c r="I86" s="362"/>
      <c r="J86" s="358"/>
      <c r="K86" s="362"/>
      <c r="L86" s="375"/>
      <c r="M86" s="363"/>
    </row>
    <row r="87" spans="2:13" x14ac:dyDescent="0.25">
      <c r="B87" s="272"/>
      <c r="C87" s="276" t="s">
        <v>116</v>
      </c>
      <c r="D87" s="277"/>
      <c r="E87" s="278"/>
      <c r="F87" s="512" t="str">
        <f>F$19</f>
        <v>Amount</v>
      </c>
      <c r="G87" s="312"/>
      <c r="H87" s="281" t="str">
        <f>H$19</f>
        <v>Checks</v>
      </c>
      <c r="I87" s="268"/>
      <c r="J87" s="281" t="str">
        <f>J$19</f>
        <v>Remarks</v>
      </c>
      <c r="K87" s="268"/>
      <c r="L87" s="281" t="str">
        <f>L$19</f>
        <v>Comments</v>
      </c>
      <c r="M87" s="275"/>
    </row>
    <row r="88" spans="2:13" ht="15.75" x14ac:dyDescent="0.25">
      <c r="B88" s="343"/>
      <c r="C88" s="314" t="s">
        <v>117</v>
      </c>
      <c r="D88" s="360"/>
      <c r="E88" s="361"/>
      <c r="F88" s="322"/>
      <c r="G88" s="280" t="s">
        <v>118</v>
      </c>
      <c r="H88" s="304" t="str">
        <f t="shared" ref="H88:H94" si="3">IF(ISTEXT(F88),"No text please",IF(F88&lt;0,"No negatives please",IF(ISBLANK(F88),"Please enter a value",IF(AND(F88=0,ISERROR(FIND("zero",J88))),"Please confirm zero",IF(AND(F88&lt;&gt;0,J88="Confirmed zero"),"Value not zero"," ")))))</f>
        <v>Please enter a value</v>
      </c>
      <c r="I88" s="362"/>
      <c r="J88" s="323"/>
      <c r="K88" s="362"/>
      <c r="L88" s="319"/>
      <c r="M88" s="363"/>
    </row>
    <row r="89" spans="2:13" ht="15.75" x14ac:dyDescent="0.25">
      <c r="B89" s="343"/>
      <c r="C89" s="320" t="s">
        <v>119</v>
      </c>
      <c r="D89" s="321"/>
      <c r="E89" s="288"/>
      <c r="F89" s="322"/>
      <c r="G89" s="280" t="s">
        <v>120</v>
      </c>
      <c r="H89" s="292" t="str">
        <f t="shared" si="3"/>
        <v>Please enter a value</v>
      </c>
      <c r="I89" s="362"/>
      <c r="J89" s="323"/>
      <c r="K89" s="362"/>
      <c r="L89" s="319"/>
      <c r="M89" s="363"/>
    </row>
    <row r="90" spans="2:13" ht="15.75" x14ac:dyDescent="0.25">
      <c r="B90" s="343"/>
      <c r="C90" s="320" t="s">
        <v>121</v>
      </c>
      <c r="D90" s="321"/>
      <c r="E90" s="288"/>
      <c r="F90" s="322"/>
      <c r="G90" s="280" t="s">
        <v>122</v>
      </c>
      <c r="H90" s="292" t="str">
        <f t="shared" si="3"/>
        <v>Please enter a value</v>
      </c>
      <c r="I90" s="362"/>
      <c r="J90" s="323"/>
      <c r="K90" s="362"/>
      <c r="L90" s="319"/>
      <c r="M90" s="363"/>
    </row>
    <row r="91" spans="2:13" ht="15.75" x14ac:dyDescent="0.25">
      <c r="B91" s="343"/>
      <c r="C91" s="320" t="s">
        <v>123</v>
      </c>
      <c r="D91" s="321"/>
      <c r="E91" s="288"/>
      <c r="F91" s="322"/>
      <c r="G91" s="280" t="s">
        <v>124</v>
      </c>
      <c r="H91" s="292" t="str">
        <f t="shared" si="3"/>
        <v>Please enter a value</v>
      </c>
      <c r="I91" s="362"/>
      <c r="J91" s="323"/>
      <c r="K91" s="362"/>
      <c r="L91" s="319"/>
      <c r="M91" s="363"/>
    </row>
    <row r="92" spans="2:13" ht="15.75" x14ac:dyDescent="0.25">
      <c r="B92" s="343"/>
      <c r="C92" s="320" t="s">
        <v>125</v>
      </c>
      <c r="D92" s="321"/>
      <c r="E92" s="288"/>
      <c r="F92" s="322"/>
      <c r="G92" s="280" t="s">
        <v>126</v>
      </c>
      <c r="H92" s="292" t="str">
        <f t="shared" si="3"/>
        <v>Please enter a value</v>
      </c>
      <c r="I92" s="362"/>
      <c r="J92" s="323"/>
      <c r="K92" s="362"/>
      <c r="L92" s="319"/>
      <c r="M92" s="363"/>
    </row>
    <row r="93" spans="2:13" ht="15.75" x14ac:dyDescent="0.25">
      <c r="B93" s="343"/>
      <c r="C93" s="320" t="s">
        <v>127</v>
      </c>
      <c r="D93" s="321"/>
      <c r="E93" s="288"/>
      <c r="F93" s="322"/>
      <c r="G93" s="280" t="s">
        <v>128</v>
      </c>
      <c r="H93" s="292" t="str">
        <f t="shared" si="3"/>
        <v>Please enter a value</v>
      </c>
      <c r="I93" s="362"/>
      <c r="J93" s="323"/>
      <c r="K93" s="362"/>
      <c r="L93" s="319"/>
      <c r="M93" s="363"/>
    </row>
    <row r="94" spans="2:13" ht="15.75" x14ac:dyDescent="0.25">
      <c r="B94" s="343"/>
      <c r="C94" s="320" t="s">
        <v>129</v>
      </c>
      <c r="D94" s="321"/>
      <c r="E94" s="288"/>
      <c r="F94" s="322"/>
      <c r="G94" s="280" t="s">
        <v>130</v>
      </c>
      <c r="H94" s="309" t="str">
        <f t="shared" si="3"/>
        <v>Please enter a value</v>
      </c>
      <c r="I94" s="362"/>
      <c r="J94" s="323"/>
      <c r="K94" s="362"/>
      <c r="L94" s="319"/>
      <c r="M94" s="363"/>
    </row>
    <row r="95" spans="2:13" ht="15.75" x14ac:dyDescent="0.25">
      <c r="B95" s="343"/>
      <c r="C95" s="320" t="s">
        <v>426</v>
      </c>
      <c r="D95" s="321"/>
      <c r="E95" s="288"/>
      <c r="F95" s="285"/>
      <c r="G95" s="280"/>
      <c r="H95" s="285"/>
      <c r="I95" s="268"/>
      <c r="J95" s="285"/>
      <c r="K95" s="268"/>
      <c r="L95" s="285"/>
      <c r="M95" s="275"/>
    </row>
    <row r="96" spans="2:13" ht="15.75" x14ac:dyDescent="0.25">
      <c r="B96" s="343"/>
      <c r="C96" s="366" t="s">
        <v>427</v>
      </c>
      <c r="D96" s="367"/>
      <c r="E96" s="368"/>
      <c r="F96" s="322"/>
      <c r="G96" s="280" t="s">
        <v>428</v>
      </c>
      <c r="H96" s="342" t="str">
        <f>IF(ISTEXT(F96),"No text please",IF(F96&lt;0,"No negatives please",IF(ISBLANK(F96),"Please enter a value",IF(AND(F96=0,ISERROR(FIND("zero",J96))),"Please confirm zero",IF(AND(F96&lt;&gt;0,J96="Confirmed zero"),"Value not zero"," ")))))</f>
        <v>Please enter a value</v>
      </c>
      <c r="I96" s="362"/>
      <c r="J96" s="323"/>
      <c r="K96" s="362"/>
      <c r="L96" s="319"/>
      <c r="M96" s="363"/>
    </row>
    <row r="97" spans="2:13" ht="15.75" x14ac:dyDescent="0.25">
      <c r="B97" s="343"/>
      <c r="C97" s="369" t="s">
        <v>131</v>
      </c>
      <c r="D97" s="370"/>
      <c r="E97" s="513"/>
      <c r="F97" s="344" t="str">
        <f>IF(COUNTIF(H88:H94,"&lt;&gt; ")=0,SUM(F88:F94),"")</f>
        <v/>
      </c>
      <c r="G97" s="280" t="s">
        <v>132</v>
      </c>
      <c r="H97" s="376"/>
      <c r="I97" s="268"/>
      <c r="J97" s="376"/>
      <c r="K97" s="268"/>
      <c r="L97" s="268"/>
      <c r="M97" s="275"/>
    </row>
    <row r="98" spans="2:13" x14ac:dyDescent="0.25">
      <c r="B98" s="377"/>
      <c r="C98" s="378"/>
      <c r="D98" s="378"/>
      <c r="E98" s="350"/>
      <c r="F98" s="350"/>
      <c r="G98" s="379"/>
      <c r="H98" s="350"/>
      <c r="I98" s="350"/>
      <c r="J98" s="350"/>
      <c r="K98" s="350"/>
      <c r="L98" s="350"/>
      <c r="M98" s="352"/>
    </row>
    <row r="99" spans="2:13" ht="15.75" x14ac:dyDescent="0.25">
      <c r="B99" s="269" t="s">
        <v>133</v>
      </c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1"/>
    </row>
    <row r="100" spans="2:13" ht="19.5" x14ac:dyDescent="0.25">
      <c r="B100" s="353"/>
      <c r="C100" s="354"/>
      <c r="D100" s="354"/>
      <c r="E100" s="355"/>
      <c r="F100" s="356"/>
      <c r="G100" s="357"/>
      <c r="H100" s="356"/>
      <c r="I100" s="268"/>
      <c r="J100" s="358"/>
      <c r="K100" s="268"/>
      <c r="L100" s="356"/>
      <c r="M100" s="275"/>
    </row>
    <row r="101" spans="2:13" ht="19.5" customHeight="1" x14ac:dyDescent="0.25">
      <c r="B101" s="353"/>
      <c r="C101" s="594" t="s">
        <v>134</v>
      </c>
      <c r="D101" s="596" t="s">
        <v>135</v>
      </c>
      <c r="E101" s="596" t="s">
        <v>136</v>
      </c>
      <c r="F101" s="567" t="str">
        <f>F87</f>
        <v>Amount</v>
      </c>
      <c r="G101" s="357"/>
      <c r="H101" s="356"/>
      <c r="I101" s="268"/>
      <c r="J101" s="358"/>
      <c r="K101" s="268"/>
      <c r="L101" s="356"/>
      <c r="M101" s="275"/>
    </row>
    <row r="102" spans="2:13" x14ac:dyDescent="0.25">
      <c r="B102" s="313"/>
      <c r="C102" s="595"/>
      <c r="D102" s="597"/>
      <c r="E102" s="597"/>
      <c r="F102" s="568"/>
      <c r="G102" s="312"/>
      <c r="H102" s="281" t="str">
        <f>H$19</f>
        <v>Checks</v>
      </c>
      <c r="I102" s="268"/>
      <c r="J102" s="281" t="str">
        <f>J$19</f>
        <v>Remarks</v>
      </c>
      <c r="K102" s="268"/>
      <c r="L102" s="281" t="str">
        <f>L$19</f>
        <v>Comments</v>
      </c>
      <c r="M102" s="275"/>
    </row>
    <row r="103" spans="2:13" x14ac:dyDescent="0.25">
      <c r="B103" s="313"/>
      <c r="C103" s="314" t="s">
        <v>137</v>
      </c>
      <c r="D103" s="380" t="s">
        <v>138</v>
      </c>
      <c r="E103" s="381"/>
      <c r="F103" s="382" t="str">
        <f t="shared" ref="F103:F114" si="4">IF(AND(ISNUMBER(E103),VLOOKUP(D103,$D$185:$H$199,5,FALSE)=" "),E103*VLOOKUP(D103,$D$185:$E$199,2,FALSE)," ")</f>
        <v xml:space="preserve"> </v>
      </c>
      <c r="G103" s="280" t="s">
        <v>140</v>
      </c>
      <c r="H103" s="304" t="str">
        <f>IF(ISTEXT(E103),"No text please",IF(E103&lt;0,"No negatives please",IF(ISBLANK(E103),"Please enter a value",IF(AND(E103=0,ISERROR(FIND("zero",J103))),"Please confirm zero",IF(AND(E103&lt;&gt;0,J103="Confirmed zero"),"Value not zero"," ")))))</f>
        <v>Please enter a value</v>
      </c>
      <c r="I103" s="268"/>
      <c r="J103" s="323"/>
      <c r="K103" s="268"/>
      <c r="L103" s="319"/>
      <c r="M103" s="275"/>
    </row>
    <row r="104" spans="2:13" x14ac:dyDescent="0.25">
      <c r="B104" s="313"/>
      <c r="C104" s="320" t="s">
        <v>141</v>
      </c>
      <c r="D104" s="383" t="s">
        <v>142</v>
      </c>
      <c r="E104" s="384"/>
      <c r="F104" s="385" t="str">
        <f t="shared" si="4"/>
        <v xml:space="preserve"> </v>
      </c>
      <c r="G104" s="280" t="s">
        <v>143</v>
      </c>
      <c r="H104" s="292" t="str">
        <f t="shared" ref="H104:H114" si="5">IF(ISTEXT(E104),"No text please",IF(E104&lt;0,"No negatives please",IF(ISBLANK(E104),"Please enter a value",IF(AND(E104=0,ISERROR(FIND("zero",J104))),"Please confirm zero",IF(AND(E104&lt;&gt;0,J104="Confirmed zero"),"Value not zero"," ")))))</f>
        <v>Please enter a value</v>
      </c>
      <c r="I104" s="268"/>
      <c r="J104" s="323"/>
      <c r="K104" s="268"/>
      <c r="L104" s="319"/>
      <c r="M104" s="275"/>
    </row>
    <row r="105" spans="2:13" x14ac:dyDescent="0.25">
      <c r="B105" s="313"/>
      <c r="C105" s="320" t="s">
        <v>144</v>
      </c>
      <c r="D105" s="383" t="s">
        <v>145</v>
      </c>
      <c r="E105" s="386"/>
      <c r="F105" s="385" t="str">
        <f t="shared" si="4"/>
        <v xml:space="preserve"> </v>
      </c>
      <c r="G105" s="280" t="s">
        <v>146</v>
      </c>
      <c r="H105" s="292" t="str">
        <f t="shared" si="5"/>
        <v>Please enter a value</v>
      </c>
      <c r="I105" s="268"/>
      <c r="J105" s="323"/>
      <c r="K105" s="268"/>
      <c r="L105" s="319"/>
      <c r="M105" s="275"/>
    </row>
    <row r="106" spans="2:13" x14ac:dyDescent="0.25">
      <c r="B106" s="313"/>
      <c r="C106" s="320" t="s">
        <v>147</v>
      </c>
      <c r="D106" s="383" t="s">
        <v>148</v>
      </c>
      <c r="E106" s="387"/>
      <c r="F106" s="385" t="str">
        <f t="shared" si="4"/>
        <v xml:space="preserve"> </v>
      </c>
      <c r="G106" s="280" t="s">
        <v>149</v>
      </c>
      <c r="H106" s="292" t="str">
        <f t="shared" si="5"/>
        <v>Please enter a value</v>
      </c>
      <c r="I106" s="268"/>
      <c r="J106" s="323"/>
      <c r="K106" s="268"/>
      <c r="L106" s="319"/>
      <c r="M106" s="275"/>
    </row>
    <row r="107" spans="2:13" x14ac:dyDescent="0.25">
      <c r="B107" s="313"/>
      <c r="C107" s="320" t="s">
        <v>150</v>
      </c>
      <c r="D107" s="383" t="s">
        <v>151</v>
      </c>
      <c r="E107" s="388"/>
      <c r="F107" s="385" t="str">
        <f t="shared" si="4"/>
        <v xml:space="preserve"> </v>
      </c>
      <c r="G107" s="280" t="s">
        <v>152</v>
      </c>
      <c r="H107" s="292" t="str">
        <f t="shared" si="5"/>
        <v>Please enter a value</v>
      </c>
      <c r="I107" s="268"/>
      <c r="J107" s="323"/>
      <c r="K107" s="268"/>
      <c r="L107" s="319"/>
      <c r="M107" s="275"/>
    </row>
    <row r="108" spans="2:13" x14ac:dyDescent="0.25">
      <c r="B108" s="313"/>
      <c r="C108" s="320" t="s">
        <v>153</v>
      </c>
      <c r="D108" s="383" t="s">
        <v>154</v>
      </c>
      <c r="E108" s="389"/>
      <c r="F108" s="385" t="str">
        <f t="shared" si="4"/>
        <v xml:space="preserve"> </v>
      </c>
      <c r="G108" s="280" t="s">
        <v>155</v>
      </c>
      <c r="H108" s="292" t="str">
        <f t="shared" si="5"/>
        <v>Please enter a value</v>
      </c>
      <c r="I108" s="268"/>
      <c r="J108" s="323"/>
      <c r="K108" s="268"/>
      <c r="L108" s="319"/>
      <c r="M108" s="275"/>
    </row>
    <row r="109" spans="2:13" x14ac:dyDescent="0.25">
      <c r="B109" s="313"/>
      <c r="C109" s="320" t="s">
        <v>156</v>
      </c>
      <c r="D109" s="383" t="s">
        <v>157</v>
      </c>
      <c r="E109" s="390"/>
      <c r="F109" s="385" t="str">
        <f t="shared" si="4"/>
        <v xml:space="preserve"> </v>
      </c>
      <c r="G109" s="280" t="s">
        <v>158</v>
      </c>
      <c r="H109" s="292" t="str">
        <f t="shared" si="5"/>
        <v>Please enter a value</v>
      </c>
      <c r="I109" s="268"/>
      <c r="J109" s="323"/>
      <c r="K109" s="268"/>
      <c r="L109" s="319"/>
      <c r="M109" s="275"/>
    </row>
    <row r="110" spans="2:13" x14ac:dyDescent="0.25">
      <c r="B110" s="313"/>
      <c r="C110" s="320" t="s">
        <v>159</v>
      </c>
      <c r="D110" s="383" t="s">
        <v>160</v>
      </c>
      <c r="E110" s="391"/>
      <c r="F110" s="385" t="str">
        <f t="shared" si="4"/>
        <v xml:space="preserve"> </v>
      </c>
      <c r="G110" s="280" t="s">
        <v>161</v>
      </c>
      <c r="H110" s="292" t="str">
        <f t="shared" si="5"/>
        <v>Please enter a value</v>
      </c>
      <c r="I110" s="268"/>
      <c r="J110" s="323"/>
      <c r="K110" s="268"/>
      <c r="L110" s="319"/>
      <c r="M110" s="275"/>
    </row>
    <row r="111" spans="2:13" x14ac:dyDescent="0.25">
      <c r="B111" s="313"/>
      <c r="C111" s="320" t="s">
        <v>162</v>
      </c>
      <c r="D111" s="383" t="s">
        <v>163</v>
      </c>
      <c r="E111" s="392"/>
      <c r="F111" s="385" t="str">
        <f t="shared" si="4"/>
        <v xml:space="preserve"> </v>
      </c>
      <c r="G111" s="280" t="s">
        <v>164</v>
      </c>
      <c r="H111" s="292" t="str">
        <f t="shared" si="5"/>
        <v>Please enter a value</v>
      </c>
      <c r="I111" s="268"/>
      <c r="J111" s="323"/>
      <c r="K111" s="268"/>
      <c r="L111" s="319"/>
      <c r="M111" s="275"/>
    </row>
    <row r="112" spans="2:13" x14ac:dyDescent="0.25">
      <c r="B112" s="313"/>
      <c r="C112" s="320" t="s">
        <v>165</v>
      </c>
      <c r="D112" s="383" t="s">
        <v>166</v>
      </c>
      <c r="E112" s="393"/>
      <c r="F112" s="385" t="str">
        <f t="shared" si="4"/>
        <v xml:space="preserve"> </v>
      </c>
      <c r="G112" s="280" t="s">
        <v>167</v>
      </c>
      <c r="H112" s="292" t="str">
        <f t="shared" si="5"/>
        <v>Please enter a value</v>
      </c>
      <c r="I112" s="268"/>
      <c r="J112" s="323"/>
      <c r="K112" s="268"/>
      <c r="L112" s="319"/>
      <c r="M112" s="275"/>
    </row>
    <row r="113" spans="2:13" x14ac:dyDescent="0.25">
      <c r="B113" s="313"/>
      <c r="C113" s="320" t="s">
        <v>168</v>
      </c>
      <c r="D113" s="383" t="s">
        <v>169</v>
      </c>
      <c r="E113" s="394"/>
      <c r="F113" s="385" t="str">
        <f t="shared" si="4"/>
        <v xml:space="preserve"> </v>
      </c>
      <c r="G113" s="280" t="s">
        <v>170</v>
      </c>
      <c r="H113" s="292" t="str">
        <f t="shared" si="5"/>
        <v>Please enter a value</v>
      </c>
      <c r="I113" s="268"/>
      <c r="J113" s="323"/>
      <c r="K113" s="268"/>
      <c r="L113" s="319"/>
      <c r="M113" s="275"/>
    </row>
    <row r="114" spans="2:13" x14ac:dyDescent="0.25">
      <c r="B114" s="313"/>
      <c r="C114" s="320" t="s">
        <v>171</v>
      </c>
      <c r="D114" s="383" t="s">
        <v>172</v>
      </c>
      <c r="E114" s="395"/>
      <c r="F114" s="385" t="str">
        <f t="shared" si="4"/>
        <v xml:space="preserve"> </v>
      </c>
      <c r="G114" s="280" t="s">
        <v>173</v>
      </c>
      <c r="H114" s="309" t="str">
        <f t="shared" si="5"/>
        <v>Please enter a value</v>
      </c>
      <c r="I114" s="268"/>
      <c r="J114" s="323"/>
      <c r="K114" s="268"/>
      <c r="L114" s="319"/>
      <c r="M114" s="275"/>
    </row>
    <row r="115" spans="2:13" x14ac:dyDescent="0.25">
      <c r="B115" s="313"/>
      <c r="C115" s="320" t="str">
        <f>"m. Ancillary data: "</f>
        <v xml:space="preserve">m. Ancillary data: </v>
      </c>
      <c r="D115" s="383"/>
      <c r="E115" s="396"/>
      <c r="F115" s="397"/>
      <c r="G115" s="280"/>
      <c r="H115" s="285"/>
      <c r="I115" s="268"/>
      <c r="J115" s="285"/>
      <c r="K115" s="268"/>
      <c r="L115" s="285"/>
      <c r="M115" s="275"/>
    </row>
    <row r="116" spans="2:13" x14ac:dyDescent="0.25">
      <c r="B116" s="313"/>
      <c r="C116" s="327" t="s">
        <v>429</v>
      </c>
      <c r="D116" s="383" t="s">
        <v>174</v>
      </c>
      <c r="E116" s="398"/>
      <c r="F116" s="399" t="str">
        <f>IF(AND(ISNUMBER(E116),VLOOKUP(D116,$D$185:$H$199,5,FALSE)=" "),E116*VLOOKUP(D116,$D$185:$E$199,2,FALSE)," ")</f>
        <v xml:space="preserve"> </v>
      </c>
      <c r="G116" s="280" t="s">
        <v>430</v>
      </c>
      <c r="H116" s="304" t="str">
        <f>IF(ISTEXT(E116),"No text please",IF(E116&lt;0,"No negatives please",IF(ISBLANK(E116),"Please enter a value",IF(AND(E116=0,ISERROR(FIND("zero",J116))),"Please confirm zero",IF(AND(E116&lt;&gt;0,J116="Confirmed zero"),"Value not zero"," ")))))</f>
        <v>Please enter a value</v>
      </c>
      <c r="I116" s="268"/>
      <c r="J116" s="323"/>
      <c r="K116" s="268"/>
      <c r="L116" s="319"/>
      <c r="M116" s="275"/>
    </row>
    <row r="117" spans="2:13" x14ac:dyDescent="0.25">
      <c r="B117" s="313"/>
      <c r="C117" s="327" t="s">
        <v>431</v>
      </c>
      <c r="D117" s="383" t="s">
        <v>175</v>
      </c>
      <c r="E117" s="400"/>
      <c r="F117" s="399" t="str">
        <f>IF(AND(ISNUMBER(E117),VLOOKUP(D117,$D$185:$H$199,5,FALSE)=" "),E117*VLOOKUP(D117,$D$185:$E$199,2,FALSE)," ")</f>
        <v xml:space="preserve"> </v>
      </c>
      <c r="G117" s="280" t="s">
        <v>432</v>
      </c>
      <c r="H117" s="292" t="str">
        <f>IF(ISTEXT(E117),"No text please",IF(E117&lt;0,"No negatives please",IF(ISBLANK(E117),"Please enter a value",IF(AND(E117=0,ISERROR(FIND("zero",J117))),"Please confirm zero",IF(AND(E117&lt;&gt;0,J117="Confirmed zero"),"Value not zero"," ")))))</f>
        <v>Please enter a value</v>
      </c>
      <c r="I117" s="268"/>
      <c r="J117" s="323"/>
      <c r="K117" s="268"/>
      <c r="L117" s="319"/>
      <c r="M117" s="275"/>
    </row>
    <row r="118" spans="2:13" x14ac:dyDescent="0.25">
      <c r="B118" s="313"/>
      <c r="C118" s="366" t="s">
        <v>433</v>
      </c>
      <c r="D118" s="401" t="s">
        <v>176</v>
      </c>
      <c r="E118" s="402"/>
      <c r="F118" s="399" t="str">
        <f>IF(AND(ISNUMBER(E118),VLOOKUP(D118,$D$185:$H$199,5,FALSE)=" "),E118*VLOOKUP(D118,$D$185:$E$199,2,FALSE)," ")</f>
        <v xml:space="preserve"> </v>
      </c>
      <c r="G118" s="280" t="s">
        <v>434</v>
      </c>
      <c r="H118" s="309" t="str">
        <f>IF(ISTEXT(E118),"No text please",IF(E118&lt;0,"No negatives please",IF(ISBLANK(E118),"Please enter a value",IF(AND(E118=0,ISERROR(FIND("zero",J118))),"Please confirm zero",IF(AND(E118&lt;&gt;0,J118="Confirmed zero"),"Value not zero"," ")))))</f>
        <v>Please enter a value</v>
      </c>
      <c r="I118" s="268"/>
      <c r="J118" s="323"/>
      <c r="K118" s="268"/>
      <c r="L118" s="319"/>
      <c r="M118" s="275"/>
    </row>
    <row r="119" spans="2:13" x14ac:dyDescent="0.25">
      <c r="B119" s="313"/>
      <c r="C119" s="569" t="s">
        <v>177</v>
      </c>
      <c r="D119" s="570"/>
      <c r="E119" s="571"/>
      <c r="F119" s="403" t="str">
        <f>IF(COUNTIF(F103:F114,"= ")=0,SUM(F103:F114)," ")</f>
        <v xml:space="preserve"> </v>
      </c>
      <c r="G119" s="280" t="s">
        <v>178</v>
      </c>
      <c r="H119" s="268"/>
      <c r="I119" s="268"/>
      <c r="J119" s="268"/>
      <c r="K119" s="268"/>
      <c r="L119" s="268"/>
      <c r="M119" s="275"/>
    </row>
    <row r="120" spans="2:13" ht="19.5" x14ac:dyDescent="0.25">
      <c r="B120" s="353"/>
      <c r="C120" s="354"/>
      <c r="D120" s="354"/>
      <c r="E120" s="355"/>
      <c r="F120" s="356"/>
      <c r="G120" s="357"/>
      <c r="H120" s="356"/>
      <c r="I120" s="268"/>
      <c r="J120" s="358"/>
      <c r="K120" s="268"/>
      <c r="L120" s="356"/>
      <c r="M120" s="275"/>
    </row>
    <row r="121" spans="2:13" x14ac:dyDescent="0.25">
      <c r="B121" s="272"/>
      <c r="C121" s="276" t="s">
        <v>179</v>
      </c>
      <c r="D121" s="277"/>
      <c r="E121" s="278"/>
      <c r="F121" s="512" t="str">
        <f>F$19</f>
        <v>Amount</v>
      </c>
      <c r="G121" s="312"/>
      <c r="H121" s="281" t="str">
        <f>H$19</f>
        <v>Checks</v>
      </c>
      <c r="I121" s="268"/>
      <c r="J121" s="281" t="str">
        <f>J$19</f>
        <v>Remarks</v>
      </c>
      <c r="K121" s="268"/>
      <c r="L121" s="281" t="str">
        <f>L$19</f>
        <v>Comments</v>
      </c>
      <c r="M121" s="275"/>
    </row>
    <row r="122" spans="2:13" x14ac:dyDescent="0.25">
      <c r="B122" s="404"/>
      <c r="C122" s="369" t="s">
        <v>180</v>
      </c>
      <c r="D122" s="370"/>
      <c r="E122" s="513"/>
      <c r="F122" s="322"/>
      <c r="G122" s="280" t="s">
        <v>181</v>
      </c>
      <c r="H122" s="342" t="str">
        <f>IF(ISTEXT(F122),"No text please",IF(F122&lt;0,"No negatives please",IF(ISBLANK(F122),"Please enter a value",IF(AND(F122=0,ISERROR(FIND("zero",J122))),"Please confirm zero",IF(AND(F122&lt;&gt;0,J122="Confirmed zero"),"Value not zero"," ")))))</f>
        <v>Please enter a value</v>
      </c>
      <c r="I122" s="268"/>
      <c r="J122" s="323"/>
      <c r="K122" s="268"/>
      <c r="L122" s="319"/>
      <c r="M122" s="275"/>
    </row>
    <row r="123" spans="2:13" ht="19.5" x14ac:dyDescent="0.25">
      <c r="B123" s="353"/>
      <c r="C123" s="354"/>
      <c r="D123" s="354"/>
      <c r="E123" s="355"/>
      <c r="F123" s="356"/>
      <c r="G123" s="357"/>
      <c r="H123" s="356"/>
      <c r="I123" s="268"/>
      <c r="J123" s="358"/>
      <c r="K123" s="268"/>
      <c r="L123" s="356"/>
      <c r="M123" s="275"/>
    </row>
    <row r="124" spans="2:13" x14ac:dyDescent="0.25">
      <c r="B124" s="272"/>
      <c r="C124" s="276" t="s">
        <v>182</v>
      </c>
      <c r="D124" s="277"/>
      <c r="E124" s="278"/>
      <c r="F124" s="512" t="str">
        <f>F$19</f>
        <v>Amount</v>
      </c>
      <c r="G124" s="312"/>
      <c r="H124" s="281" t="str">
        <f>H$19</f>
        <v>Checks</v>
      </c>
      <c r="I124" s="268"/>
      <c r="J124" s="281" t="str">
        <f>J$19</f>
        <v>Remarks</v>
      </c>
      <c r="K124" s="268"/>
      <c r="L124" s="281" t="str">
        <f>L$19</f>
        <v>Comments</v>
      </c>
      <c r="M124" s="275"/>
    </row>
    <row r="125" spans="2:13" x14ac:dyDescent="0.25">
      <c r="B125" s="313"/>
      <c r="C125" s="314" t="s">
        <v>183</v>
      </c>
      <c r="D125" s="360"/>
      <c r="E125" s="361"/>
      <c r="F125" s="322"/>
      <c r="G125" s="280" t="s">
        <v>184</v>
      </c>
      <c r="H125" s="304" t="str">
        <f>IF(ISTEXT(F125),"No text please",IF(F125&lt;0,"No negatives please",IF(ISBLANK(F125),"Please enter a value",IF(AND(F125=0,ISERROR(FIND("zero",J125))),"Please confirm zero",IF(AND(F125&lt;&gt;0,J125="Confirmed zero"),"Value not zero"," ")))))</f>
        <v>Please enter a value</v>
      </c>
      <c r="I125" s="268"/>
      <c r="J125" s="323"/>
      <c r="K125" s="268"/>
      <c r="L125" s="319"/>
      <c r="M125" s="275"/>
    </row>
    <row r="126" spans="2:13" x14ac:dyDescent="0.25">
      <c r="B126" s="313"/>
      <c r="C126" s="405" t="s">
        <v>185</v>
      </c>
      <c r="D126" s="406"/>
      <c r="E126" s="368"/>
      <c r="F126" s="322"/>
      <c r="G126" s="280" t="s">
        <v>186</v>
      </c>
      <c r="H126" s="309" t="str">
        <f>IF(ISTEXT(F126),"No text please",IF(F126&lt;0,"No negatives please",IF(ISBLANK(F126),"Please enter a value",IF(AND(F126=0,ISERROR(FIND("zero",J126))),"Please confirm zero",IF(AND(F126&lt;&gt;0,J126="Confirmed zero"),"Value not zero"," ")))))</f>
        <v>Please enter a value</v>
      </c>
      <c r="I126" s="268"/>
      <c r="J126" s="323"/>
      <c r="K126" s="268"/>
      <c r="L126" s="319"/>
      <c r="M126" s="275"/>
    </row>
    <row r="127" spans="2:13" x14ac:dyDescent="0.25">
      <c r="B127" s="313"/>
      <c r="C127" s="369" t="s">
        <v>187</v>
      </c>
      <c r="D127" s="370"/>
      <c r="E127" s="513"/>
      <c r="F127" s="344" t="str">
        <f>IF(COUNTIF(H125:H126,"&lt;&gt; ")=0,SUM(F125:F126),"")</f>
        <v/>
      </c>
      <c r="G127" s="280" t="s">
        <v>188</v>
      </c>
      <c r="H127" s="268"/>
      <c r="I127" s="268"/>
      <c r="J127" s="268"/>
      <c r="K127" s="268"/>
      <c r="L127" s="268"/>
      <c r="M127" s="275"/>
    </row>
    <row r="128" spans="2:13" x14ac:dyDescent="0.25">
      <c r="B128" s="377"/>
      <c r="C128" s="378"/>
      <c r="D128" s="378"/>
      <c r="E128" s="350"/>
      <c r="F128" s="350"/>
      <c r="G128" s="379"/>
      <c r="H128" s="350"/>
      <c r="I128" s="350"/>
      <c r="J128" s="350"/>
      <c r="K128" s="350"/>
      <c r="L128" s="350"/>
      <c r="M128" s="352"/>
    </row>
    <row r="129" spans="2:13" ht="15.75" x14ac:dyDescent="0.25">
      <c r="B129" s="407" t="s">
        <v>435</v>
      </c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1"/>
    </row>
    <row r="130" spans="2:13" ht="19.5" x14ac:dyDescent="0.25">
      <c r="B130" s="353"/>
      <c r="C130" s="354"/>
      <c r="D130" s="354"/>
      <c r="E130" s="355"/>
      <c r="F130" s="356"/>
      <c r="G130" s="357"/>
      <c r="H130" s="356"/>
      <c r="I130" s="268"/>
      <c r="J130" s="358"/>
      <c r="K130" s="268"/>
      <c r="L130" s="356"/>
      <c r="M130" s="275"/>
    </row>
    <row r="131" spans="2:13" x14ac:dyDescent="0.25">
      <c r="B131" s="272"/>
      <c r="C131" s="276" t="s">
        <v>189</v>
      </c>
      <c r="D131" s="277"/>
      <c r="E131" s="278"/>
      <c r="F131" s="512" t="str">
        <f>F$19</f>
        <v>Amount</v>
      </c>
      <c r="G131" s="312"/>
      <c r="H131" s="281" t="str">
        <f>H$19</f>
        <v>Checks</v>
      </c>
      <c r="I131" s="268"/>
      <c r="J131" s="281" t="str">
        <f>J$19</f>
        <v>Remarks</v>
      </c>
      <c r="K131" s="268"/>
      <c r="L131" s="281" t="str">
        <f>L$19</f>
        <v>Comments</v>
      </c>
      <c r="M131" s="275"/>
    </row>
    <row r="132" spans="2:13" x14ac:dyDescent="0.25">
      <c r="B132" s="408"/>
      <c r="C132" s="409" t="s">
        <v>190</v>
      </c>
      <c r="D132" s="315"/>
      <c r="E132" s="284"/>
      <c r="F132" s="322"/>
      <c r="G132" s="280" t="s">
        <v>191</v>
      </c>
      <c r="H132" s="304" t="str">
        <f>IF(ISTEXT(F132),"No text please",IF(F132&lt;0,"No negatives please",IF(ISBLANK(F132),"Please enter a value",IF(AND(F132=0,ISERROR(FIND("zero",J132))),"Please confirm zero",IF(AND(F132&lt;&gt;0,J132="Confirmed zero"),"Value not zero"," ")))))</f>
        <v>Please enter a value</v>
      </c>
      <c r="I132" s="268"/>
      <c r="J132" s="323"/>
      <c r="K132" s="268"/>
      <c r="L132" s="319"/>
      <c r="M132" s="275"/>
    </row>
    <row r="133" spans="2:13" x14ac:dyDescent="0.25">
      <c r="B133" s="408"/>
      <c r="C133" s="405" t="s">
        <v>192</v>
      </c>
      <c r="D133" s="406"/>
      <c r="E133" s="368"/>
      <c r="F133" s="322"/>
      <c r="G133" s="280" t="s">
        <v>193</v>
      </c>
      <c r="H133" s="309" t="str">
        <f>IF(ISTEXT(F133),"No text please",IF(F133&lt;0,"No negatives please",IF(ISBLANK(F133),"Please enter a value",IF(AND(F133=0,ISERROR(FIND("zero",J133))),"Please confirm zero",IF(AND(F133&lt;&gt;0,J133="Confirmed zero"),"Value not zero"," ")))))</f>
        <v>Please enter a value</v>
      </c>
      <c r="I133" s="268"/>
      <c r="J133" s="323"/>
      <c r="K133" s="268"/>
      <c r="L133" s="319"/>
      <c r="M133" s="275"/>
    </row>
    <row r="134" spans="2:13" x14ac:dyDescent="0.25">
      <c r="B134" s="408"/>
      <c r="C134" s="369" t="s">
        <v>194</v>
      </c>
      <c r="D134" s="370"/>
      <c r="E134" s="513"/>
      <c r="F134" s="344" t="str">
        <f>IF(COUNTIF(H132:H133,"&lt;&gt; ")=0,SUM(F132:F133),"")</f>
        <v/>
      </c>
      <c r="G134" s="280" t="s">
        <v>195</v>
      </c>
      <c r="H134" s="268"/>
      <c r="I134" s="268"/>
      <c r="J134" s="268"/>
      <c r="K134" s="268"/>
      <c r="L134" s="268"/>
      <c r="M134" s="275"/>
    </row>
    <row r="135" spans="2:13" ht="19.5" x14ac:dyDescent="0.25">
      <c r="B135" s="353"/>
      <c r="C135" s="354"/>
      <c r="D135" s="354"/>
      <c r="E135" s="355"/>
      <c r="F135" s="356"/>
      <c r="G135" s="357"/>
      <c r="H135" s="356"/>
      <c r="I135" s="268"/>
      <c r="J135" s="358"/>
      <c r="K135" s="268"/>
      <c r="L135" s="356"/>
      <c r="M135" s="275"/>
    </row>
    <row r="136" spans="2:13" x14ac:dyDescent="0.25">
      <c r="B136" s="272"/>
      <c r="C136" s="276" t="s">
        <v>196</v>
      </c>
      <c r="D136" s="277"/>
      <c r="E136" s="278"/>
      <c r="F136" s="512" t="str">
        <f>F$19</f>
        <v>Amount</v>
      </c>
      <c r="G136" s="312"/>
      <c r="H136" s="281" t="str">
        <f>H$19</f>
        <v>Checks</v>
      </c>
      <c r="I136" s="268"/>
      <c r="J136" s="281" t="str">
        <f>J$19</f>
        <v>Remarks</v>
      </c>
      <c r="K136" s="268"/>
      <c r="L136" s="281" t="str">
        <f>L$19</f>
        <v>Comments</v>
      </c>
      <c r="M136" s="275"/>
    </row>
    <row r="137" spans="2:13" x14ac:dyDescent="0.25">
      <c r="B137" s="313"/>
      <c r="C137" s="314" t="s">
        <v>197</v>
      </c>
      <c r="D137" s="360"/>
      <c r="E137" s="361"/>
      <c r="F137" s="325"/>
      <c r="G137" s="280" t="s">
        <v>198</v>
      </c>
      <c r="H137" s="304" t="str">
        <f>IF(ISTEXT(F137),"No text please",IF(F137&lt;0,"No negatives please",IF(ISBLANK(F137),"Please enter a value",IF(AND(F137=0,ISERROR(FIND("zero",J137))),"Please confirm zero",IF(AND(F137&lt;&gt;0,J137="Confirmed zero"),"Value not zero",IF(SUM($F$137:$F$138)&lt;SUM($F$139:$F$140),"10.a. + 10.b. &lt; 10.c. + 10.d."," "))))))</f>
        <v>Please enter a value</v>
      </c>
      <c r="I137" s="268"/>
      <c r="J137" s="323"/>
      <c r="K137" s="268"/>
      <c r="L137" s="335"/>
      <c r="M137" s="275"/>
    </row>
    <row r="138" spans="2:13" x14ac:dyDescent="0.25">
      <c r="B138" s="313"/>
      <c r="C138" s="320" t="s">
        <v>199</v>
      </c>
      <c r="D138" s="321"/>
      <c r="E138" s="288"/>
      <c r="F138" s="322"/>
      <c r="G138" s="280" t="s">
        <v>200</v>
      </c>
      <c r="H138" s="292" t="str">
        <f>IF(ISTEXT(F138),"No text please",IF(F138&lt;0,"No negatives please",IF(ISBLANK(F138),"Please enter a value",IF(AND(F138=0,ISERROR(FIND("zero",J138))),"Please confirm zero",IF(AND(F138&lt;&gt;0,J138="Confirmed zero"),"Value not zero",IF(SUM($F$137:$F$138)&lt;SUM($F$139:$F$140),"10.a. + 10.b. &lt; 10.c. + 10.d."," "))))))</f>
        <v>Please enter a value</v>
      </c>
      <c r="I138" s="268"/>
      <c r="J138" s="323"/>
      <c r="K138" s="268"/>
      <c r="L138" s="335"/>
      <c r="M138" s="275"/>
    </row>
    <row r="139" spans="2:13" x14ac:dyDescent="0.25">
      <c r="B139" s="313"/>
      <c r="C139" s="320" t="s">
        <v>201</v>
      </c>
      <c r="D139" s="321"/>
      <c r="E139" s="288"/>
      <c r="F139" s="322"/>
      <c r="G139" s="280" t="s">
        <v>202</v>
      </c>
      <c r="H139" s="292" t="str">
        <f>IF(ISTEXT(F139),"No text please",IF(F139&lt;0,"No negatives please",IF(ISBLANK(F139),"Please enter a value",IF(AND(F139=0,ISERROR(FIND("zero",J139))),"Please confirm zero",IF(AND(F139&lt;&gt;0,J139="Confirmed zero"),"Value not zero",IF(SUM($F$137:$F$138)&lt;SUM($F$139:$F$140),"10.a. + 10.b. &lt; 10.c. + 10.d."," "))))))</f>
        <v>Please enter a value</v>
      </c>
      <c r="I139" s="268"/>
      <c r="J139" s="323"/>
      <c r="K139" s="268"/>
      <c r="L139" s="335"/>
      <c r="M139" s="275"/>
    </row>
    <row r="140" spans="2:13" x14ac:dyDescent="0.25">
      <c r="B140" s="313"/>
      <c r="C140" s="410" t="s">
        <v>203</v>
      </c>
      <c r="D140" s="411"/>
      <c r="E140" s="288"/>
      <c r="F140" s="325"/>
      <c r="G140" s="280" t="s">
        <v>204</v>
      </c>
      <c r="H140" s="309" t="str">
        <f>IF(ISTEXT(F140),"No text please",IF(F140&lt;0,"No negatives please",IF(ISBLANK(F140),"Please enter a value",IF(AND(F140=0,ISERROR(FIND("zero",J140))),"Please confirm zero",IF(AND(F140&lt;&gt;0,J140="Confirmed zero"),"Value not zero",IF(SUM($F$137:$F$138)&lt;SUM($F$139:$F$140),"10.a. + 10.b. &lt; 10.c. + 10.d."," "))))))</f>
        <v>Please enter a value</v>
      </c>
      <c r="I140" s="268"/>
      <c r="J140" s="323"/>
      <c r="K140" s="268"/>
      <c r="L140" s="335"/>
      <c r="M140" s="275"/>
    </row>
    <row r="141" spans="2:13" ht="15.75" x14ac:dyDescent="0.25">
      <c r="B141" s="343"/>
      <c r="C141" s="320" t="s">
        <v>436</v>
      </c>
      <c r="D141" s="321"/>
      <c r="E141" s="288"/>
      <c r="F141" s="285"/>
      <c r="G141" s="280"/>
      <c r="H141" s="285"/>
      <c r="I141" s="268"/>
      <c r="J141" s="285"/>
      <c r="K141" s="268"/>
      <c r="L141" s="285"/>
      <c r="M141" s="275"/>
    </row>
    <row r="142" spans="2:13" x14ac:dyDescent="0.25">
      <c r="B142" s="313"/>
      <c r="C142" s="366" t="s">
        <v>437</v>
      </c>
      <c r="D142" s="367"/>
      <c r="E142" s="368"/>
      <c r="F142" s="322"/>
      <c r="G142" s="280" t="s">
        <v>438</v>
      </c>
      <c r="H142" s="342" t="str">
        <f>IF(ISTEXT(F142),"No text please",IF(F142&lt;0,"No negatives please",IF(ISBLANK(F142),"Please enter a value",IF(AND(F142=0,ISERROR(FIND("zero",J142))),"Please confirm zero",IF(AND(F142&lt;&gt;0,J142="Confirmed zero"),"Value not zero"," ")))))</f>
        <v>Please enter a value</v>
      </c>
      <c r="I142" s="268"/>
      <c r="J142" s="323"/>
      <c r="K142" s="268"/>
      <c r="L142" s="319"/>
      <c r="M142" s="275"/>
    </row>
    <row r="143" spans="2:13" x14ac:dyDescent="0.25">
      <c r="B143" s="313"/>
      <c r="C143" s="369" t="s">
        <v>205</v>
      </c>
      <c r="D143" s="370"/>
      <c r="E143" s="513"/>
      <c r="F143" s="344" t="str">
        <f>IF(COUNTIF(H137:H140,"&lt;&gt; ")=0,MAX(SUM(F137:F138)-SUM(F139:F140),0),"")</f>
        <v/>
      </c>
      <c r="G143" s="280" t="s">
        <v>206</v>
      </c>
      <c r="H143" s="268"/>
      <c r="I143" s="268"/>
      <c r="J143" s="268"/>
      <c r="K143" s="268"/>
      <c r="L143" s="268"/>
      <c r="M143" s="275"/>
    </row>
    <row r="144" spans="2:13" ht="19.5" x14ac:dyDescent="0.25">
      <c r="B144" s="353"/>
      <c r="C144" s="354"/>
      <c r="D144" s="354"/>
      <c r="E144" s="355"/>
      <c r="F144" s="356"/>
      <c r="G144" s="357"/>
      <c r="H144" s="356"/>
      <c r="I144" s="268"/>
      <c r="J144" s="358"/>
      <c r="K144" s="268"/>
      <c r="L144" s="356"/>
      <c r="M144" s="275"/>
    </row>
    <row r="145" spans="2:13" x14ac:dyDescent="0.25">
      <c r="B145" s="272"/>
      <c r="C145" s="276" t="s">
        <v>207</v>
      </c>
      <c r="D145" s="277"/>
      <c r="E145" s="278"/>
      <c r="F145" s="512" t="str">
        <f>F$19</f>
        <v>Amount</v>
      </c>
      <c r="G145" s="312"/>
      <c r="H145" s="281" t="str">
        <f>H$19</f>
        <v>Checks</v>
      </c>
      <c r="I145" s="268"/>
      <c r="J145" s="281" t="str">
        <f>J$19</f>
        <v>Remarks</v>
      </c>
      <c r="K145" s="268"/>
      <c r="L145" s="281" t="str">
        <f>L$19</f>
        <v>Comments</v>
      </c>
      <c r="M145" s="275"/>
    </row>
    <row r="146" spans="2:13" x14ac:dyDescent="0.25">
      <c r="B146" s="313"/>
      <c r="C146" s="369" t="s">
        <v>208</v>
      </c>
      <c r="D146" s="370"/>
      <c r="E146" s="513"/>
      <c r="F146" s="322"/>
      <c r="G146" s="280" t="s">
        <v>209</v>
      </c>
      <c r="H146" s="342" t="str">
        <f>IF(ISTEXT(F146),"No text please",IF(F146&lt;0,"No negatives please",IF(ISBLANK(F146),"Please enter a value",IF(AND(F146=0,ISERROR(FIND("zero",J146))),"Please confirm zero",IF(AND(F146&lt;&gt;0,J146="Confirmed zero"),"Value not zero"," ")))))</f>
        <v>Please enter a value</v>
      </c>
      <c r="I146" s="268"/>
      <c r="J146" s="323"/>
      <c r="K146" s="268"/>
      <c r="L146" s="319"/>
      <c r="M146" s="275"/>
    </row>
    <row r="147" spans="2:13" x14ac:dyDescent="0.25">
      <c r="B147" s="377"/>
      <c r="C147" s="412"/>
      <c r="D147" s="412"/>
      <c r="E147" s="413"/>
      <c r="F147" s="413"/>
      <c r="G147" s="379"/>
      <c r="H147" s="350"/>
      <c r="I147" s="350"/>
      <c r="J147" s="350"/>
      <c r="K147" s="350"/>
      <c r="L147" s="350"/>
      <c r="M147" s="352"/>
    </row>
    <row r="148" spans="2:13" ht="15.75" x14ac:dyDescent="0.25">
      <c r="B148" s="407" t="s">
        <v>210</v>
      </c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1"/>
    </row>
    <row r="149" spans="2:13" ht="19.5" x14ac:dyDescent="0.25">
      <c r="B149" s="353"/>
      <c r="C149" s="354"/>
      <c r="D149" s="354"/>
      <c r="E149" s="355"/>
      <c r="F149" s="356"/>
      <c r="G149" s="357"/>
      <c r="H149" s="356"/>
      <c r="I149" s="268"/>
      <c r="J149" s="358"/>
      <c r="K149" s="268"/>
      <c r="L149" s="356"/>
      <c r="M149" s="275"/>
    </row>
    <row r="150" spans="2:13" x14ac:dyDescent="0.25">
      <c r="B150" s="272"/>
      <c r="C150" s="276" t="s">
        <v>211</v>
      </c>
      <c r="D150" s="277"/>
      <c r="E150" s="278"/>
      <c r="F150" s="512" t="str">
        <f>F$19</f>
        <v>Amount</v>
      </c>
      <c r="G150" s="312"/>
      <c r="H150" s="281" t="str">
        <f>H$19</f>
        <v>Checks</v>
      </c>
      <c r="I150" s="268"/>
      <c r="J150" s="281" t="str">
        <f>J$19</f>
        <v>Remarks</v>
      </c>
      <c r="K150" s="268"/>
      <c r="L150" s="281" t="str">
        <f>L$19</f>
        <v>Comments</v>
      </c>
      <c r="M150" s="275"/>
    </row>
    <row r="151" spans="2:13" x14ac:dyDescent="0.25">
      <c r="B151" s="404"/>
      <c r="C151" s="314" t="s">
        <v>212</v>
      </c>
      <c r="D151" s="360"/>
      <c r="E151" s="361"/>
      <c r="F151" s="322"/>
      <c r="G151" s="280" t="s">
        <v>213</v>
      </c>
      <c r="H151" s="342" t="str">
        <f>IF(ISTEXT(F151),"No text please",IF(F151&lt;0,"No negatives please",IF(ISBLANK(F151),"Please enter a value",IF(AND(F151=0,ISERROR(FIND("zero",J151))),"Please confirm zero",IF(AND(F151&lt;&gt;0,J151="Confirmed zero"),"Value not zero"," ")))))</f>
        <v>Please enter a value</v>
      </c>
      <c r="I151" s="268"/>
      <c r="J151" s="323"/>
      <c r="K151" s="268"/>
      <c r="L151" s="319"/>
      <c r="M151" s="275"/>
    </row>
    <row r="152" spans="2:13" ht="15.75" x14ac:dyDescent="0.25">
      <c r="B152" s="343"/>
      <c r="C152" s="320" t="s">
        <v>439</v>
      </c>
      <c r="D152" s="321"/>
      <c r="E152" s="288"/>
      <c r="F152" s="285"/>
      <c r="G152" s="280"/>
      <c r="H152" s="285"/>
      <c r="I152" s="268"/>
      <c r="J152" s="285"/>
      <c r="K152" s="268"/>
      <c r="L152" s="285"/>
      <c r="M152" s="275"/>
    </row>
    <row r="153" spans="2:13" x14ac:dyDescent="0.25">
      <c r="B153" s="404"/>
      <c r="C153" s="366" t="s">
        <v>440</v>
      </c>
      <c r="D153" s="367"/>
      <c r="E153" s="368"/>
      <c r="F153" s="322"/>
      <c r="G153" s="280" t="s">
        <v>441</v>
      </c>
      <c r="H153" s="342" t="str">
        <f>IF(ISTEXT(F153),"No text please",IF(F153&lt;0,"No negatives please",IF(ISBLANK(F153),"Please enter a value",IF(AND(F153=0,ISERROR(FIND("zero",J153))),"Please confirm zero",IF(AND(F153&lt;&gt;0,J153="Confirmed zero"),"Value not zero"," ")))))</f>
        <v>Please enter a value</v>
      </c>
      <c r="I153" s="268"/>
      <c r="J153" s="323"/>
      <c r="K153" s="268"/>
      <c r="L153" s="319"/>
      <c r="M153" s="275"/>
    </row>
    <row r="154" spans="2:13" ht="19.5" x14ac:dyDescent="0.25">
      <c r="B154" s="313"/>
      <c r="C154" s="369" t="s">
        <v>214</v>
      </c>
      <c r="D154" s="370"/>
      <c r="E154" s="513"/>
      <c r="F154" s="344" t="str">
        <f>IF(COUNTIF(H151,"&lt;&gt; ")=0,SUM(F151),"")</f>
        <v/>
      </c>
      <c r="G154" s="280" t="s">
        <v>215</v>
      </c>
      <c r="H154" s="356"/>
      <c r="I154" s="374"/>
      <c r="J154" s="414"/>
      <c r="K154" s="374"/>
      <c r="L154" s="375"/>
      <c r="M154" s="275"/>
    </row>
    <row r="155" spans="2:13" ht="19.5" x14ac:dyDescent="0.25">
      <c r="B155" s="353"/>
      <c r="C155" s="354"/>
      <c r="D155" s="354"/>
      <c r="E155" s="355"/>
      <c r="F155" s="356"/>
      <c r="G155" s="357"/>
      <c r="H155" s="356"/>
      <c r="I155" s="268"/>
      <c r="J155" s="358"/>
      <c r="K155" s="268"/>
      <c r="L155" s="356"/>
      <c r="M155" s="275"/>
    </row>
    <row r="156" spans="2:13" x14ac:dyDescent="0.25">
      <c r="B156" s="272"/>
      <c r="C156" s="276" t="s">
        <v>216</v>
      </c>
      <c r="D156" s="277"/>
      <c r="E156" s="278"/>
      <c r="F156" s="512" t="str">
        <f>F$19</f>
        <v>Amount</v>
      </c>
      <c r="G156" s="312"/>
      <c r="H156" s="281" t="str">
        <f>H$19</f>
        <v>Checks</v>
      </c>
      <c r="I156" s="268"/>
      <c r="J156" s="281" t="str">
        <f>J$19</f>
        <v>Remarks</v>
      </c>
      <c r="K156" s="268"/>
      <c r="L156" s="281" t="str">
        <f>L$19</f>
        <v>Comments</v>
      </c>
      <c r="M156" s="275"/>
    </row>
    <row r="157" spans="2:13" x14ac:dyDescent="0.25">
      <c r="B157" s="313"/>
      <c r="C157" s="314" t="s">
        <v>217</v>
      </c>
      <c r="D157" s="360"/>
      <c r="E157" s="361"/>
      <c r="F157" s="322"/>
      <c r="G157" s="280" t="s">
        <v>218</v>
      </c>
      <c r="H157" s="304" t="str">
        <f>IF(ISTEXT(F157),"No text please",IF(F157&lt;0,"No negatives please",IF(ISBLANK(F157),"Please enter a value",IF(AND(F157=0,ISERROR(FIND("zero",J157))),"Please confirm zero",IF(AND(F157&lt;&gt;0,J157="Confirmed zero"),"Value not zero",IF($F$157&lt;$F$158,"&lt; 13.a.(1)"," "))))))</f>
        <v>Please enter a value</v>
      </c>
      <c r="I157" s="268"/>
      <c r="J157" s="323"/>
      <c r="K157" s="268"/>
      <c r="L157" s="335"/>
      <c r="M157" s="275"/>
    </row>
    <row r="158" spans="2:13" x14ac:dyDescent="0.25">
      <c r="B158" s="313"/>
      <c r="C158" s="327" t="s">
        <v>219</v>
      </c>
      <c r="D158" s="328"/>
      <c r="E158" s="288"/>
      <c r="F158" s="322"/>
      <c r="G158" s="280" t="s">
        <v>220</v>
      </c>
      <c r="H158" s="292" t="str">
        <f>IF(ISTEXT(F158),"No text please",IF(F158&lt;0,"No negatives please",IF(ISBLANK(F158),"Please enter a value",IF(AND(F158=0,ISERROR(FIND("zero",J158))),"Please confirm zero",IF(AND(F158&lt;&gt;0,J158="Confirmed zero"),"Value not zero",IF($F$157&lt;$F$158,"&gt; 13.a."," "))))))</f>
        <v>Please enter a value</v>
      </c>
      <c r="I158" s="268"/>
      <c r="J158" s="323"/>
      <c r="K158" s="268"/>
      <c r="L158" s="319"/>
      <c r="M158" s="275"/>
    </row>
    <row r="159" spans="2:13" x14ac:dyDescent="0.25">
      <c r="B159" s="313"/>
      <c r="C159" s="320" t="s">
        <v>221</v>
      </c>
      <c r="D159" s="321"/>
      <c r="E159" s="288"/>
      <c r="F159" s="322"/>
      <c r="G159" s="280" t="s">
        <v>222</v>
      </c>
      <c r="H159" s="309" t="str">
        <f>IF(ISTEXT(F159),"No text please",IF(F159&lt;0,"No negatives please",IF(ISBLANK(F159),"Please enter a value",IF(AND(F159=0,ISERROR(FIND("zero",J159))),"Please confirm zero",IF(AND(F159&lt;&gt;0,J159="Confirmed zero"),"Value not zero"," ")))))</f>
        <v>Please enter a value</v>
      </c>
      <c r="I159" s="268"/>
      <c r="J159" s="323"/>
      <c r="K159" s="268"/>
      <c r="L159" s="319"/>
      <c r="M159" s="275"/>
    </row>
    <row r="160" spans="2:13" ht="15.75" x14ac:dyDescent="0.25">
      <c r="B160" s="343"/>
      <c r="C160" s="320" t="s">
        <v>442</v>
      </c>
      <c r="D160" s="321"/>
      <c r="E160" s="288"/>
      <c r="F160" s="285"/>
      <c r="G160" s="280"/>
      <c r="H160" s="285"/>
      <c r="I160" s="268"/>
      <c r="J160" s="285"/>
      <c r="K160" s="268"/>
      <c r="L160" s="285"/>
      <c r="M160" s="275"/>
    </row>
    <row r="161" spans="2:13" x14ac:dyDescent="0.25">
      <c r="B161" s="404"/>
      <c r="C161" s="366" t="s">
        <v>443</v>
      </c>
      <c r="D161" s="367"/>
      <c r="E161" s="368"/>
      <c r="F161" s="322"/>
      <c r="G161" s="280" t="s">
        <v>444</v>
      </c>
      <c r="H161" s="342" t="str">
        <f>IF(ISTEXT(F161),"No text please",IF(F161&lt;0,"No negatives please",IF(ISBLANK(F161),"Please enter a value",IF(AND(F161=0,ISERROR(FIND("zero",J161))),"Please confirm zero",IF(AND(F161&lt;&gt;0,J161="Confirmed zero"),"Value not zero"," ")))))</f>
        <v>Please enter a value</v>
      </c>
      <c r="I161" s="268"/>
      <c r="J161" s="323"/>
      <c r="K161" s="268"/>
      <c r="L161" s="319"/>
      <c r="M161" s="275"/>
    </row>
    <row r="162" spans="2:13" x14ac:dyDescent="0.25">
      <c r="B162" s="313"/>
      <c r="C162" s="369" t="s">
        <v>223</v>
      </c>
      <c r="D162" s="370"/>
      <c r="E162" s="513"/>
      <c r="F162" s="344" t="str">
        <f>IF(COUNTIF(H157:H159,"&lt;&gt; ")=0,MAX(F157-F158,0)+F159,"")</f>
        <v/>
      </c>
      <c r="G162" s="280" t="s">
        <v>224</v>
      </c>
      <c r="H162" s="268"/>
      <c r="I162" s="268"/>
      <c r="J162" s="268"/>
      <c r="K162" s="268"/>
      <c r="L162" s="268"/>
      <c r="M162" s="275"/>
    </row>
    <row r="163" spans="2:13" x14ac:dyDescent="0.25">
      <c r="B163" s="377"/>
      <c r="C163" s="378"/>
      <c r="D163" s="378"/>
      <c r="E163" s="350"/>
      <c r="F163" s="350"/>
      <c r="G163" s="379"/>
      <c r="H163" s="350"/>
      <c r="I163" s="350"/>
      <c r="J163" s="350"/>
      <c r="K163" s="350"/>
      <c r="L163" s="350"/>
      <c r="M163" s="352"/>
    </row>
    <row r="164" spans="2:13" ht="15.75" x14ac:dyDescent="0.25">
      <c r="B164" s="407" t="s">
        <v>225</v>
      </c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1"/>
    </row>
    <row r="165" spans="2:13" ht="19.5" x14ac:dyDescent="0.25">
      <c r="B165" s="353"/>
      <c r="C165" s="354"/>
      <c r="D165" s="354"/>
      <c r="E165" s="355"/>
      <c r="F165" s="356"/>
      <c r="G165" s="357"/>
      <c r="H165" s="356"/>
      <c r="I165" s="268"/>
      <c r="J165" s="358"/>
      <c r="K165" s="268"/>
      <c r="L165" s="356"/>
      <c r="M165" s="275"/>
    </row>
    <row r="166" spans="2:13" x14ac:dyDescent="0.25">
      <c r="B166" s="272"/>
      <c r="C166" s="276" t="s">
        <v>445</v>
      </c>
      <c r="D166" s="277"/>
      <c r="E166" s="278"/>
      <c r="F166" s="512" t="str">
        <f>F$19</f>
        <v>Amount</v>
      </c>
      <c r="G166" s="312"/>
      <c r="H166" s="281" t="str">
        <f>H$19</f>
        <v>Checks</v>
      </c>
      <c r="I166" s="268"/>
      <c r="J166" s="281" t="str">
        <f>J$19</f>
        <v>Remarks</v>
      </c>
      <c r="K166" s="268"/>
      <c r="L166" s="281" t="str">
        <f>L$19</f>
        <v>Comments</v>
      </c>
      <c r="M166" s="275"/>
    </row>
    <row r="167" spans="2:13" x14ac:dyDescent="0.25">
      <c r="B167" s="313"/>
      <c r="C167" s="314" t="s">
        <v>446</v>
      </c>
      <c r="D167" s="360"/>
      <c r="E167" s="361"/>
      <c r="F167" s="415"/>
      <c r="G167" s="280" t="s">
        <v>447</v>
      </c>
      <c r="H167" s="304" t="str">
        <f>IF(ISTEXT(F167),"No text please",IF(F167&lt;0,"No negatives please",IF(ISBLANK(F167),"Please enter a value",IF(AND(F167=0,ISERROR(FIND("zero",J167))),"Please confirm zero",IF(AND(F167&lt;&gt;0,J167="Confirmed zero"),"Value not zero",IF($F$167&lt;$F$168,"&lt; 14.b.",IF(AND($F$85&lt;&gt;"",$F$167&lt;$F$85),"&lt; 4.g."," ")))))))</f>
        <v>Please enter a value</v>
      </c>
      <c r="I167" s="268"/>
      <c r="J167" s="323"/>
      <c r="K167" s="268"/>
      <c r="L167" s="335"/>
      <c r="M167" s="275"/>
    </row>
    <row r="168" spans="2:13" x14ac:dyDescent="0.25">
      <c r="B168" s="313"/>
      <c r="C168" s="320" t="s">
        <v>448</v>
      </c>
      <c r="D168" s="321"/>
      <c r="E168" s="288"/>
      <c r="F168" s="415"/>
      <c r="G168" s="280" t="s">
        <v>449</v>
      </c>
      <c r="H168" s="309" t="str">
        <f>IF(ISTEXT(F168),"No text please",IF(F168&lt;0,"No negatives please",IF(ISBLANK(F168),"Please enter a value",IF(AND(F168=0,ISERROR(FIND("zero",J168))),"Please confirm zero",IF(AND(F168&lt;&gt;0,J168="Confirmed zero"),"Value not zero",IF($F$167&lt;$F$168,"&gt; 14.a."," "))))))</f>
        <v>Please enter a value</v>
      </c>
      <c r="I168" s="268"/>
      <c r="J168" s="323"/>
      <c r="K168" s="268"/>
      <c r="L168" s="335"/>
      <c r="M168" s="275"/>
    </row>
    <row r="169" spans="2:13" x14ac:dyDescent="0.25">
      <c r="B169" s="313"/>
      <c r="C169" s="320" t="s">
        <v>450</v>
      </c>
      <c r="D169" s="321"/>
      <c r="E169" s="416"/>
      <c r="F169" s="417" t="str">
        <f>IF(AND(COUNTIF(H167:H168,"&lt;&gt; ")=0,F167&lt;&gt;0),(F167-F168)/F167,"")</f>
        <v/>
      </c>
      <c r="G169" s="280" t="s">
        <v>451</v>
      </c>
      <c r="H169" s="285"/>
      <c r="I169" s="268"/>
      <c r="J169" s="285"/>
      <c r="K169" s="268"/>
      <c r="L169" s="285"/>
      <c r="M169" s="275"/>
    </row>
    <row r="170" spans="2:13" x14ac:dyDescent="0.25">
      <c r="B170" s="313"/>
      <c r="C170" s="320" t="s">
        <v>452</v>
      </c>
      <c r="D170" s="321"/>
      <c r="E170" s="288"/>
      <c r="F170" s="418"/>
      <c r="G170" s="280" t="s">
        <v>453</v>
      </c>
      <c r="H170" s="304" t="str">
        <f>IF(ISTEXT(F170),"No text please",IF(ISBLANK(F170),"Please enter a value",IF(AND(F170=0,ISERROR(FIND("zero",J170))),"Please confirm zero",IF(AND(F170&lt;&gt;0,J170="Confirmed zero"),"Value not zero"," "))))</f>
        <v>Please enter a value</v>
      </c>
      <c r="I170" s="268"/>
      <c r="J170" s="323"/>
      <c r="K170" s="268"/>
      <c r="L170" s="335"/>
      <c r="M170" s="275"/>
    </row>
    <row r="171" spans="2:13" x14ac:dyDescent="0.25">
      <c r="B171" s="313"/>
      <c r="C171" s="320" t="s">
        <v>454</v>
      </c>
      <c r="D171" s="321"/>
      <c r="E171" s="288"/>
      <c r="F171" s="415"/>
      <c r="G171" s="280" t="s">
        <v>455</v>
      </c>
      <c r="H171" s="292" t="str">
        <f>IF(ISTEXT(F171),"No text please",IF(ISBLANK(F171),"Please enter a value",IF(AND(F171=0,ISERROR(FIND("zero",J171))),"Please confirm zero",IF(AND(F171&lt;&gt;0,J171="Confirmed zero"),"Value not zero"," "))))</f>
        <v>Please enter a value</v>
      </c>
      <c r="I171" s="268"/>
      <c r="J171" s="323"/>
      <c r="K171" s="268"/>
      <c r="L171" s="335"/>
      <c r="M171" s="275"/>
    </row>
    <row r="172" spans="2:13" x14ac:dyDescent="0.25">
      <c r="B172" s="313"/>
      <c r="C172" s="320" t="s">
        <v>456</v>
      </c>
      <c r="D172" s="321"/>
      <c r="E172" s="288"/>
      <c r="F172" s="415"/>
      <c r="G172" s="280" t="s">
        <v>457</v>
      </c>
      <c r="H172" s="292" t="str">
        <f>IF(ISTEXT(F172),"No text please",IF(F172&lt;0,"No negatives please",IF(ISBLANK(F172),"Please enter a value",IF(AND(F172=0,ISERROR(FIND("zero",J172))),"Please confirm zero",IF(AND(F172&lt;&gt;0,J172="Confirmed zero"),"Value not zero"," ")))))</f>
        <v>Please enter a value</v>
      </c>
      <c r="I172" s="268"/>
      <c r="J172" s="323"/>
      <c r="K172" s="268"/>
      <c r="L172" s="319"/>
      <c r="M172" s="275"/>
    </row>
    <row r="173" spans="2:13" x14ac:dyDescent="0.25">
      <c r="B173" s="313"/>
      <c r="C173" s="320" t="s">
        <v>458</v>
      </c>
      <c r="D173" s="321"/>
      <c r="E173" s="288"/>
      <c r="F173" s="415"/>
      <c r="G173" s="280" t="s">
        <v>459</v>
      </c>
      <c r="H173" s="292" t="str">
        <f>IF(ISTEXT(F173),"No text please",IF(F173&lt;0,"No negatives please",IF(ISBLANK(F173),"Please enter a value",IF(AND(F173=0,ISERROR(FIND("zero",J173))),"Please confirm zero",IF(AND(F173&lt;&gt;0,J173="Confirmed zero"),"Value not zero"," ")))))</f>
        <v>Please enter a value</v>
      </c>
      <c r="I173" s="268"/>
      <c r="J173" s="323"/>
      <c r="K173" s="268"/>
      <c r="L173" s="319"/>
      <c r="M173" s="275"/>
    </row>
    <row r="174" spans="2:13" x14ac:dyDescent="0.25">
      <c r="B174" s="313"/>
      <c r="C174" s="320" t="s">
        <v>460</v>
      </c>
      <c r="D174" s="321"/>
      <c r="E174" s="288"/>
      <c r="F174" s="415"/>
      <c r="G174" s="280" t="s">
        <v>461</v>
      </c>
      <c r="H174" s="292" t="str">
        <f>IF(ISTEXT(F174),"No text please",IF(F174&lt;0,"No negatives please",IF(ISBLANK(F174),"Please enter a value",IF(AND(F174=0,ISERROR(FIND("zero",J174))),"Please confirm zero",IF(AND(F174&lt;&gt;0,J174="Confirmed zero"),"Value not zero"," ")))))</f>
        <v>Please enter a value</v>
      </c>
      <c r="I174" s="268"/>
      <c r="J174" s="323"/>
      <c r="K174" s="268"/>
      <c r="L174" s="319"/>
      <c r="M174" s="275"/>
    </row>
    <row r="175" spans="2:13" x14ac:dyDescent="0.25">
      <c r="B175" s="313"/>
      <c r="C175" s="320" t="s">
        <v>462</v>
      </c>
      <c r="D175" s="321"/>
      <c r="E175" s="288"/>
      <c r="F175" s="415"/>
      <c r="G175" s="280" t="s">
        <v>463</v>
      </c>
      <c r="H175" s="292" t="str">
        <f>IF(ISTEXT(F175),"No text please",IF(F175&lt;0,"No negatives please",IF(ISBLANK(F175),"Please enter a value",IF(AND(F175=0,ISERROR(FIND("zero",J175))),"Please confirm zero",IF(AND(F175&lt;&gt;0,J175="Confirmed zero"),"Value not zero"," ")))))</f>
        <v>Please enter a value</v>
      </c>
      <c r="I175" s="268"/>
      <c r="J175" s="323"/>
      <c r="K175" s="268"/>
      <c r="L175" s="319"/>
      <c r="M175" s="275"/>
    </row>
    <row r="176" spans="2:13" x14ac:dyDescent="0.25">
      <c r="B176" s="313"/>
      <c r="C176" s="419" t="s">
        <v>464</v>
      </c>
      <c r="D176" s="420"/>
      <c r="E176" s="368"/>
      <c r="F176" s="415"/>
      <c r="G176" s="280" t="s">
        <v>465</v>
      </c>
      <c r="H176" s="309" t="str">
        <f>IF(ISTEXT(F176),"No text please",IF(F176&lt;0,"No negatives please",IF(ISBLANK(F176),"Please enter a value",IF(AND(F176=0,ISERROR(FIND("zero",J176))),"Please confirm zero",IF(AND(F176&lt;&gt;0,J176="Confirmed zero"),"Value not zero"," ")))))</f>
        <v>Please enter a value</v>
      </c>
      <c r="I176" s="268"/>
      <c r="J176" s="323"/>
      <c r="K176" s="268"/>
      <c r="L176" s="319"/>
      <c r="M176" s="275"/>
    </row>
    <row r="177" spans="2:13" x14ac:dyDescent="0.25">
      <c r="B177" s="313"/>
      <c r="C177" s="421"/>
      <c r="D177" s="421"/>
      <c r="E177" s="421"/>
      <c r="F177" s="511"/>
      <c r="G177" s="280"/>
      <c r="H177" s="280"/>
      <c r="I177" s="280"/>
      <c r="J177" s="280"/>
      <c r="K177" s="280"/>
      <c r="L177" s="280"/>
      <c r="M177" s="422"/>
    </row>
    <row r="178" spans="2:13" x14ac:dyDescent="0.25">
      <c r="B178" s="313"/>
      <c r="C178" s="423"/>
      <c r="D178" s="423"/>
      <c r="E178" s="423"/>
      <c r="F178" s="512" t="s">
        <v>466</v>
      </c>
      <c r="G178" s="312"/>
      <c r="H178" s="281" t="str">
        <f>H$19</f>
        <v>Checks</v>
      </c>
      <c r="I178" s="268"/>
      <c r="J178" s="281" t="str">
        <f>J$19</f>
        <v>Remarks</v>
      </c>
      <c r="K178" s="268"/>
      <c r="L178" s="281" t="str">
        <f>L$19</f>
        <v>Comments</v>
      </c>
      <c r="M178" s="422"/>
    </row>
    <row r="179" spans="2:13" x14ac:dyDescent="0.25">
      <c r="B179" s="313"/>
      <c r="C179" s="424" t="s">
        <v>467</v>
      </c>
      <c r="D179" s="425"/>
      <c r="E179" s="426"/>
      <c r="F179" s="418"/>
      <c r="G179" s="280" t="s">
        <v>468</v>
      </c>
      <c r="H179" s="342" t="str">
        <f>IF(ISTEXT(F179),"No text please",IF(F179&lt;0,"No negatives please",IF(ISBLANK(F179),"Please enter a value",IF(F179=0,"Cannot be zero",IF(AND(F179&lt;&gt;0,J179="Confirmed zero"),"Value not zero",IF(INT(F179)=F179," ","Integers only"))))))</f>
        <v>Please enter a value</v>
      </c>
      <c r="I179" s="275"/>
      <c r="J179" s="323"/>
      <c r="K179" s="275"/>
      <c r="L179" s="335"/>
      <c r="M179" s="275"/>
    </row>
    <row r="180" spans="2:13" x14ac:dyDescent="0.25">
      <c r="B180" s="345"/>
      <c r="C180" s="347"/>
      <c r="D180" s="347"/>
      <c r="E180" s="347"/>
      <c r="F180" s="347"/>
      <c r="G180" s="427"/>
      <c r="H180" s="347"/>
      <c r="I180" s="350"/>
      <c r="J180" s="350"/>
      <c r="K180" s="350"/>
      <c r="L180" s="347"/>
      <c r="M180" s="352"/>
    </row>
    <row r="181" spans="2:13" ht="15.75" x14ac:dyDescent="0.25">
      <c r="B181" s="428" t="str">
        <f>"Annual Average Exchange Rates"&amp;IF(ISNUMBER(F10)," ("&amp;TEXT(EDATE($F$10,-12)+1,"mmm yyyy")&amp;" through "&amp;TEXT($F$10,"mmm yyyy")&amp;")","")</f>
        <v>Annual Average Exchange Rates</v>
      </c>
      <c r="C181" s="429"/>
      <c r="D181" s="429"/>
      <c r="E181" s="429"/>
      <c r="F181" s="429"/>
      <c r="G181" s="429"/>
      <c r="H181" s="429"/>
      <c r="I181" s="429"/>
      <c r="J181" s="429"/>
      <c r="K181" s="429"/>
      <c r="L181" s="429"/>
      <c r="M181" s="430"/>
    </row>
    <row r="182" spans="2:13" ht="26.25" x14ac:dyDescent="0.4">
      <c r="B182" s="432"/>
      <c r="C182" s="433"/>
      <c r="D182" s="433"/>
      <c r="E182" s="434"/>
      <c r="F182" s="435"/>
      <c r="G182" s="435"/>
      <c r="H182" s="435"/>
      <c r="I182" s="435"/>
      <c r="J182" s="435"/>
      <c r="K182" s="435"/>
      <c r="L182" s="435"/>
      <c r="M182" s="436"/>
    </row>
    <row r="183" spans="2:13" x14ac:dyDescent="0.25">
      <c r="B183" s="437"/>
      <c r="C183" s="438" t="s">
        <v>469</v>
      </c>
      <c r="D183" s="439"/>
      <c r="E183" s="440" t="str">
        <f>IF($F$11="&lt;select&gt;"," ","Conversion to "&amp;$F$11)</f>
        <v xml:space="preserve"> </v>
      </c>
      <c r="F183" s="441"/>
      <c r="G183" s="441"/>
      <c r="H183" s="442"/>
      <c r="I183" s="441"/>
      <c r="J183" s="441"/>
      <c r="K183" s="441"/>
      <c r="L183" s="442"/>
      <c r="M183" s="443"/>
    </row>
    <row r="184" spans="2:13" x14ac:dyDescent="0.25">
      <c r="B184" s="437"/>
      <c r="C184" s="444"/>
      <c r="D184" s="445"/>
      <c r="E184" s="311" t="str">
        <f>IF($F$11="&lt;select&gt;","Conversion rate","(number of "&amp;$F$11&amp;" per unit)")</f>
        <v>Conversion rate</v>
      </c>
      <c r="F184" s="441"/>
      <c r="G184" s="441"/>
      <c r="H184" s="281" t="str">
        <f>H$19</f>
        <v>Checks</v>
      </c>
      <c r="I184" s="441"/>
      <c r="J184" s="441"/>
      <c r="K184" s="441"/>
      <c r="L184" s="281" t="str">
        <f>L$19</f>
        <v>Comments</v>
      </c>
      <c r="M184" s="443"/>
    </row>
    <row r="185" spans="2:13" x14ac:dyDescent="0.25">
      <c r="B185" s="446"/>
      <c r="C185" s="447" t="s">
        <v>137</v>
      </c>
      <c r="D185" s="448" t="s">
        <v>138</v>
      </c>
      <c r="E185" s="449"/>
      <c r="F185" s="441"/>
      <c r="G185" s="280" t="s">
        <v>470</v>
      </c>
      <c r="H185" s="304" t="str">
        <f>IF(ISTEXT(E185),"No text please",IF(NOT(ISNUMBER(E185)),"Please enter a rate",IF(E185&lt;0,"No negatives please",IF(E185=0,"No zeros please"," "))))</f>
        <v>Please enter a rate</v>
      </c>
      <c r="I185" s="268"/>
      <c r="J185" s="268"/>
      <c r="K185" s="268"/>
      <c r="L185" s="335"/>
      <c r="M185" s="275"/>
    </row>
    <row r="186" spans="2:13" x14ac:dyDescent="0.25">
      <c r="B186" s="446"/>
      <c r="C186" s="297" t="s">
        <v>141</v>
      </c>
      <c r="D186" s="450" t="s">
        <v>142</v>
      </c>
      <c r="E186" s="449"/>
      <c r="F186" s="441"/>
      <c r="G186" s="280" t="s">
        <v>471</v>
      </c>
      <c r="H186" s="292" t="str">
        <f t="shared" ref="H186:H199" si="6">IF(ISTEXT(E186),"No text please",IF(NOT(ISNUMBER(E186)),"Please enter a rate",IF(E186&lt;0,"No negatives please",IF(E186=0,"No zeros please"," "))))</f>
        <v>Please enter a rate</v>
      </c>
      <c r="I186" s="268"/>
      <c r="J186" s="268"/>
      <c r="K186" s="268"/>
      <c r="L186" s="335"/>
      <c r="M186" s="275"/>
    </row>
    <row r="187" spans="2:13" x14ac:dyDescent="0.25">
      <c r="B187" s="446"/>
      <c r="C187" s="297" t="s">
        <v>144</v>
      </c>
      <c r="D187" s="450" t="s">
        <v>145</v>
      </c>
      <c r="E187" s="449"/>
      <c r="F187" s="441"/>
      <c r="G187" s="280" t="s">
        <v>472</v>
      </c>
      <c r="H187" s="292" t="str">
        <f t="shared" si="6"/>
        <v>Please enter a rate</v>
      </c>
      <c r="I187" s="268"/>
      <c r="J187" s="268"/>
      <c r="K187" s="268"/>
      <c r="L187" s="335"/>
      <c r="M187" s="275"/>
    </row>
    <row r="188" spans="2:13" x14ac:dyDescent="0.25">
      <c r="B188" s="446"/>
      <c r="C188" s="297" t="s">
        <v>147</v>
      </c>
      <c r="D188" s="450" t="s">
        <v>148</v>
      </c>
      <c r="E188" s="449"/>
      <c r="F188" s="441"/>
      <c r="G188" s="280" t="s">
        <v>473</v>
      </c>
      <c r="H188" s="292" t="str">
        <f t="shared" si="6"/>
        <v>Please enter a rate</v>
      </c>
      <c r="I188" s="268"/>
      <c r="J188" s="268"/>
      <c r="K188" s="268"/>
      <c r="L188" s="335"/>
      <c r="M188" s="275"/>
    </row>
    <row r="189" spans="2:13" x14ac:dyDescent="0.25">
      <c r="B189" s="446"/>
      <c r="C189" s="297" t="s">
        <v>150</v>
      </c>
      <c r="D189" s="450" t="s">
        <v>151</v>
      </c>
      <c r="E189" s="449"/>
      <c r="F189" s="441"/>
      <c r="G189" s="280" t="s">
        <v>474</v>
      </c>
      <c r="H189" s="292" t="str">
        <f t="shared" si="6"/>
        <v>Please enter a rate</v>
      </c>
      <c r="I189" s="268"/>
      <c r="J189" s="268"/>
      <c r="K189" s="268"/>
      <c r="L189" s="335"/>
      <c r="M189" s="275"/>
    </row>
    <row r="190" spans="2:13" x14ac:dyDescent="0.25">
      <c r="B190" s="446"/>
      <c r="C190" s="297" t="s">
        <v>153</v>
      </c>
      <c r="D190" s="450" t="s">
        <v>154</v>
      </c>
      <c r="E190" s="449"/>
      <c r="F190" s="441"/>
      <c r="G190" s="280" t="s">
        <v>475</v>
      </c>
      <c r="H190" s="292" t="str">
        <f t="shared" si="6"/>
        <v>Please enter a rate</v>
      </c>
      <c r="I190" s="268"/>
      <c r="J190" s="268"/>
      <c r="K190" s="268"/>
      <c r="L190" s="335"/>
      <c r="M190" s="275"/>
    </row>
    <row r="191" spans="2:13" x14ac:dyDescent="0.25">
      <c r="B191" s="446"/>
      <c r="C191" s="297" t="s">
        <v>156</v>
      </c>
      <c r="D191" s="450" t="s">
        <v>157</v>
      </c>
      <c r="E191" s="449"/>
      <c r="F191" s="441"/>
      <c r="G191" s="280" t="s">
        <v>476</v>
      </c>
      <c r="H191" s="292" t="str">
        <f t="shared" si="6"/>
        <v>Please enter a rate</v>
      </c>
      <c r="I191" s="268"/>
      <c r="J191" s="268"/>
      <c r="K191" s="268"/>
      <c r="L191" s="335"/>
      <c r="M191" s="275"/>
    </row>
    <row r="192" spans="2:13" x14ac:dyDescent="0.25">
      <c r="B192" s="446"/>
      <c r="C192" s="297" t="s">
        <v>159</v>
      </c>
      <c r="D192" s="450" t="s">
        <v>160</v>
      </c>
      <c r="E192" s="449"/>
      <c r="F192" s="441"/>
      <c r="G192" s="280" t="s">
        <v>477</v>
      </c>
      <c r="H192" s="292" t="str">
        <f t="shared" si="6"/>
        <v>Please enter a rate</v>
      </c>
      <c r="I192" s="268"/>
      <c r="J192" s="268"/>
      <c r="K192" s="268"/>
      <c r="L192" s="335"/>
      <c r="M192" s="275"/>
    </row>
    <row r="193" spans="2:13" x14ac:dyDescent="0.25">
      <c r="B193" s="446"/>
      <c r="C193" s="297" t="s">
        <v>162</v>
      </c>
      <c r="D193" s="450" t="s">
        <v>163</v>
      </c>
      <c r="E193" s="449"/>
      <c r="F193" s="441"/>
      <c r="G193" s="280" t="s">
        <v>478</v>
      </c>
      <c r="H193" s="292" t="str">
        <f t="shared" si="6"/>
        <v>Please enter a rate</v>
      </c>
      <c r="I193" s="268"/>
      <c r="J193" s="268"/>
      <c r="K193" s="268"/>
      <c r="L193" s="335"/>
      <c r="M193" s="275"/>
    </row>
    <row r="194" spans="2:13" x14ac:dyDescent="0.25">
      <c r="B194" s="446"/>
      <c r="C194" s="297" t="s">
        <v>165</v>
      </c>
      <c r="D194" s="450" t="s">
        <v>166</v>
      </c>
      <c r="E194" s="449"/>
      <c r="F194" s="441"/>
      <c r="G194" s="280" t="s">
        <v>479</v>
      </c>
      <c r="H194" s="292" t="str">
        <f t="shared" si="6"/>
        <v>Please enter a rate</v>
      </c>
      <c r="I194" s="268"/>
      <c r="J194" s="268"/>
      <c r="K194" s="268"/>
      <c r="L194" s="335"/>
      <c r="M194" s="275"/>
    </row>
    <row r="195" spans="2:13" x14ac:dyDescent="0.25">
      <c r="B195" s="446"/>
      <c r="C195" s="297" t="s">
        <v>480</v>
      </c>
      <c r="D195" s="450" t="s">
        <v>174</v>
      </c>
      <c r="E195" s="449"/>
      <c r="F195" s="441"/>
      <c r="G195" s="280" t="s">
        <v>481</v>
      </c>
      <c r="H195" s="292" t="str">
        <f t="shared" si="6"/>
        <v>Please enter a rate</v>
      </c>
      <c r="I195" s="268"/>
      <c r="J195" s="268"/>
      <c r="K195" s="268"/>
      <c r="L195" s="335"/>
      <c r="M195" s="275"/>
    </row>
    <row r="196" spans="2:13" x14ac:dyDescent="0.25">
      <c r="B196" s="446"/>
      <c r="C196" s="297" t="s">
        <v>482</v>
      </c>
      <c r="D196" s="450" t="s">
        <v>175</v>
      </c>
      <c r="E196" s="449"/>
      <c r="F196" s="441"/>
      <c r="G196" s="280" t="s">
        <v>483</v>
      </c>
      <c r="H196" s="292" t="str">
        <f t="shared" si="6"/>
        <v>Please enter a rate</v>
      </c>
      <c r="I196" s="268"/>
      <c r="J196" s="268"/>
      <c r="K196" s="268"/>
      <c r="L196" s="335"/>
      <c r="M196" s="275"/>
    </row>
    <row r="197" spans="2:13" x14ac:dyDescent="0.25">
      <c r="B197" s="446"/>
      <c r="C197" s="297" t="s">
        <v>484</v>
      </c>
      <c r="D197" s="450" t="s">
        <v>176</v>
      </c>
      <c r="E197" s="449"/>
      <c r="F197" s="441"/>
      <c r="G197" s="280" t="s">
        <v>485</v>
      </c>
      <c r="H197" s="292" t="str">
        <f t="shared" si="6"/>
        <v>Please enter a rate</v>
      </c>
      <c r="I197" s="268"/>
      <c r="J197" s="268"/>
      <c r="K197" s="268"/>
      <c r="L197" s="335"/>
      <c r="M197" s="275"/>
    </row>
    <row r="198" spans="2:13" x14ac:dyDescent="0.25">
      <c r="B198" s="446"/>
      <c r="C198" s="297" t="s">
        <v>486</v>
      </c>
      <c r="D198" s="450" t="s">
        <v>169</v>
      </c>
      <c r="E198" s="449"/>
      <c r="F198" s="441"/>
      <c r="G198" s="280" t="s">
        <v>487</v>
      </c>
      <c r="H198" s="292" t="str">
        <f t="shared" si="6"/>
        <v>Please enter a rate</v>
      </c>
      <c r="I198" s="268"/>
      <c r="J198" s="268"/>
      <c r="K198" s="268"/>
      <c r="L198" s="335"/>
      <c r="M198" s="275"/>
    </row>
    <row r="199" spans="2:13" x14ac:dyDescent="0.25">
      <c r="B199" s="446"/>
      <c r="C199" s="451" t="s">
        <v>488</v>
      </c>
      <c r="D199" s="452" t="s">
        <v>172</v>
      </c>
      <c r="E199" s="449"/>
      <c r="F199" s="441"/>
      <c r="G199" s="280" t="s">
        <v>489</v>
      </c>
      <c r="H199" s="309" t="str">
        <f t="shared" si="6"/>
        <v>Please enter a rate</v>
      </c>
      <c r="I199" s="268"/>
      <c r="J199" s="268"/>
      <c r="K199" s="268"/>
      <c r="L199" s="335"/>
      <c r="M199" s="275"/>
    </row>
    <row r="200" spans="2:13" x14ac:dyDescent="0.25">
      <c r="B200" s="453"/>
      <c r="C200" s="454"/>
      <c r="D200" s="454"/>
      <c r="E200" s="454"/>
      <c r="F200" s="454"/>
      <c r="G200" s="454"/>
      <c r="H200" s="454"/>
      <c r="I200" s="454"/>
      <c r="J200" s="454"/>
      <c r="K200" s="454"/>
      <c r="L200" s="454"/>
      <c r="M200" s="455"/>
    </row>
    <row r="201" spans="2:13" ht="15.75" x14ac:dyDescent="0.25">
      <c r="B201" s="456" t="s">
        <v>490</v>
      </c>
      <c r="C201" s="457"/>
      <c r="D201" s="457"/>
      <c r="E201" s="457"/>
      <c r="F201" s="457"/>
      <c r="G201" s="457"/>
      <c r="H201" s="457"/>
      <c r="I201" s="457"/>
      <c r="J201" s="457"/>
      <c r="K201" s="457"/>
      <c r="L201" s="457"/>
      <c r="M201" s="458"/>
    </row>
    <row r="202" spans="2:13" ht="26.25" x14ac:dyDescent="0.4">
      <c r="B202" s="437"/>
      <c r="C202" s="459"/>
      <c r="D202" s="459"/>
      <c r="E202" s="441"/>
      <c r="F202" s="441"/>
      <c r="G202" s="441"/>
      <c r="H202" s="441"/>
      <c r="I202" s="431"/>
      <c r="J202" s="431"/>
      <c r="K202" s="431"/>
      <c r="L202" s="441"/>
      <c r="M202" s="443"/>
    </row>
    <row r="203" spans="2:13" x14ac:dyDescent="0.25">
      <c r="B203" s="437"/>
      <c r="C203" s="460" t="s">
        <v>491</v>
      </c>
      <c r="D203" s="461"/>
      <c r="E203" s="440" t="s">
        <v>492</v>
      </c>
      <c r="F203" s="462" t="s">
        <v>492</v>
      </c>
      <c r="G203" s="441"/>
      <c r="H203" s="442"/>
      <c r="I203" s="431"/>
      <c r="J203" s="431"/>
      <c r="K203" s="431"/>
      <c r="L203" s="441"/>
      <c r="M203" s="443"/>
    </row>
    <row r="204" spans="2:13" x14ac:dyDescent="0.25">
      <c r="B204" s="437"/>
      <c r="C204" s="463"/>
      <c r="D204" s="464"/>
      <c r="E204" s="311" t="s">
        <v>561</v>
      </c>
      <c r="F204" s="465" t="s">
        <v>493</v>
      </c>
      <c r="G204" s="441"/>
      <c r="H204" s="281" t="str">
        <f>H$19</f>
        <v>Checks</v>
      </c>
      <c r="I204" s="431"/>
      <c r="J204" s="431"/>
      <c r="K204" s="431"/>
      <c r="L204" s="441"/>
      <c r="M204" s="443"/>
    </row>
    <row r="205" spans="2:13" x14ac:dyDescent="0.25">
      <c r="B205" s="437"/>
      <c r="C205" s="314" t="s">
        <v>494</v>
      </c>
      <c r="D205" s="466"/>
      <c r="E205" s="467"/>
      <c r="F205" s="468"/>
      <c r="G205" s="280" t="s">
        <v>495</v>
      </c>
      <c r="H205" s="304" t="str">
        <f>IF(COUNTIF(H6:H8,"&lt;&gt; ")=0," ","Errors detected: "&amp;COUNTIF(H6:H8,"&lt;&gt; "))</f>
        <v>Errors detected: 3</v>
      </c>
      <c r="I205" s="431"/>
      <c r="J205" s="431"/>
      <c r="K205" s="431"/>
      <c r="L205" s="431"/>
      <c r="M205" s="443"/>
    </row>
    <row r="206" spans="2:13" x14ac:dyDescent="0.25">
      <c r="B206" s="437"/>
      <c r="C206" s="320" t="s">
        <v>496</v>
      </c>
      <c r="D206" s="469"/>
      <c r="E206" s="470"/>
      <c r="F206" s="471"/>
      <c r="G206" s="280" t="s">
        <v>497</v>
      </c>
      <c r="H206" s="292" t="str">
        <f>IF(COUNTIF(H10:H11,"&lt;&gt; ")+COUNTIF(H13:H15,"&lt;&gt; ")=0," ","Errors detected: "&amp;COUNTIF(H10:H11,"&lt;&gt; ")+COUNTIF(H13:H15,"&lt;&gt; "))</f>
        <v>Errors detected: 5</v>
      </c>
      <c r="I206" s="431"/>
      <c r="J206" s="431"/>
      <c r="K206" s="431"/>
      <c r="L206" s="281" t="s">
        <v>498</v>
      </c>
      <c r="M206" s="443"/>
    </row>
    <row r="207" spans="2:13" x14ac:dyDescent="0.25">
      <c r="B207" s="437"/>
      <c r="C207" s="320" t="s">
        <v>499</v>
      </c>
      <c r="D207" s="469"/>
      <c r="E207" s="472" t="s">
        <v>139</v>
      </c>
      <c r="F207" s="473" t="s">
        <v>17</v>
      </c>
      <c r="G207" s="280" t="s">
        <v>500</v>
      </c>
      <c r="H207" s="292" t="str">
        <f>IF(COUNTIF(H20:H24,"&lt;&gt; ")+COUNTIF(H26:H32,"&lt;&gt; ")+COUNTIF(H36:H41,"&lt;&gt; ")+COUNTIF(H43:H46,"&lt;&gt; ")+COUNTIF(H48,"&lt;&gt; ")+COUNTIF(H50:H51,"&lt;&gt; ")=0," ","Errors detected: "&amp;COUNTIF(H20:H24,"&lt;&gt; ")+COUNTIF(H26:H32,"&lt;&gt; ")+COUNTIF(H36:H41,"&lt;&gt; ")+COUNTIF(H43:H46,"&lt;&gt; ")+COUNTIF(H48,"&lt;&gt; ")+COUNTIF(H50:H51,"&lt;&gt; "))</f>
        <v>Errors detected: 25</v>
      </c>
      <c r="I207" s="431"/>
      <c r="J207" s="431"/>
      <c r="K207" s="431"/>
      <c r="L207" s="474"/>
      <c r="M207" s="443"/>
    </row>
    <row r="208" spans="2:13" x14ac:dyDescent="0.25">
      <c r="B208" s="437"/>
      <c r="C208" s="320" t="s">
        <v>501</v>
      </c>
      <c r="D208" s="469"/>
      <c r="E208" s="475" t="s">
        <v>139</v>
      </c>
      <c r="F208" s="476" t="s">
        <v>17</v>
      </c>
      <c r="G208" s="280" t="s">
        <v>502</v>
      </c>
      <c r="H208" s="292" t="str">
        <f>IF(COUNTIF(H57:H59,"&lt;&gt; ")+COUNTIF(H61:H67,"&lt;&gt; ")+COUNTIF(H69:H70,"&lt;&gt; ")=0," ","Errors detected: "&amp;COUNTIF(H57:H59,"&lt;&gt; ")+COUNTIF(H61:H67,"&lt;&gt; ")+COUNTIF(H69:H70,"&lt;&gt; "))</f>
        <v>Errors detected: 12</v>
      </c>
      <c r="I208" s="431"/>
      <c r="J208" s="431"/>
      <c r="K208" s="431"/>
      <c r="L208" s="474"/>
      <c r="M208" s="443"/>
    </row>
    <row r="209" spans="2:13" x14ac:dyDescent="0.25">
      <c r="B209" s="437"/>
      <c r="C209" s="320" t="s">
        <v>503</v>
      </c>
      <c r="D209" s="469"/>
      <c r="E209" s="475" t="s">
        <v>139</v>
      </c>
      <c r="F209" s="476" t="s">
        <v>17</v>
      </c>
      <c r="G209" s="280" t="s">
        <v>504</v>
      </c>
      <c r="H209" s="292" t="str">
        <f>IF(COUNTIF(H75:H78,"&lt;&gt; ")+COUNTIF(H80:H81,"&lt;&gt; ")+COUNTIF(H84,"&lt;&gt; ")=0," ","Errors detected: "&amp;COUNTIF(H75:H78,"&lt;&gt; ")+COUNTIF(H80:H81,"&lt;&gt; ")+COUNTIF(H84,"&lt;&gt; "))</f>
        <v>Errors detected: 7</v>
      </c>
      <c r="I209" s="431"/>
      <c r="J209" s="431"/>
      <c r="K209" s="431"/>
      <c r="L209" s="474"/>
      <c r="M209" s="443"/>
    </row>
    <row r="210" spans="2:13" x14ac:dyDescent="0.25">
      <c r="B210" s="437"/>
      <c r="C210" s="320" t="s">
        <v>505</v>
      </c>
      <c r="D210" s="469"/>
      <c r="E210" s="475" t="s">
        <v>139</v>
      </c>
      <c r="F210" s="476" t="s">
        <v>17</v>
      </c>
      <c r="G210" s="280" t="s">
        <v>506</v>
      </c>
      <c r="H210" s="292" t="str">
        <f>IF(COUNTIF(H88:H94,"&lt;&gt; ")+COUNTIF(H96,"&lt;&gt; ")=0," ","Errors detected: "&amp;COUNTIF(H88:H94,"&lt;&gt; ")+COUNTIF(H96,"&lt;&gt; "))</f>
        <v>Errors detected: 8</v>
      </c>
      <c r="I210" s="431"/>
      <c r="J210" s="431"/>
      <c r="K210" s="431"/>
      <c r="L210" s="474"/>
      <c r="M210" s="443"/>
    </row>
    <row r="211" spans="2:13" x14ac:dyDescent="0.25">
      <c r="B211" s="437"/>
      <c r="C211" s="320" t="s">
        <v>507</v>
      </c>
      <c r="D211" s="469"/>
      <c r="E211" s="475" t="s">
        <v>139</v>
      </c>
      <c r="F211" s="476" t="s">
        <v>17</v>
      </c>
      <c r="G211" s="280" t="s">
        <v>508</v>
      </c>
      <c r="H211" s="292" t="str">
        <f>IF(COUNTIF(H103:H114,"&lt;&gt; ")+COUNTIF(H116:H118,"&lt;&gt; ")=0," ","Errors detected: "&amp;COUNTIF(H103:H114,"&lt;&gt; ")+COUNTIF(H116:H118,"&lt;&gt; "))</f>
        <v>Errors detected: 15</v>
      </c>
      <c r="I211" s="431"/>
      <c r="J211" s="431"/>
      <c r="K211" s="431"/>
      <c r="L211" s="474"/>
      <c r="M211" s="443"/>
    </row>
    <row r="212" spans="2:13" x14ac:dyDescent="0.25">
      <c r="B212" s="437"/>
      <c r="C212" s="320" t="s">
        <v>509</v>
      </c>
      <c r="D212" s="469"/>
      <c r="E212" s="475" t="s">
        <v>139</v>
      </c>
      <c r="F212" s="476" t="s">
        <v>17</v>
      </c>
      <c r="G212" s="280" t="s">
        <v>510</v>
      </c>
      <c r="H212" s="292" t="str">
        <f>IF(COUNTIF(H122,"&lt;&gt; ")=0," ","Errors detected: "&amp;COUNTIF(H122,"&lt;&gt; "))</f>
        <v>Errors detected: 1</v>
      </c>
      <c r="I212" s="431"/>
      <c r="J212" s="431"/>
      <c r="K212" s="431"/>
      <c r="L212" s="474"/>
      <c r="M212" s="443"/>
    </row>
    <row r="213" spans="2:13" x14ac:dyDescent="0.25">
      <c r="B213" s="437"/>
      <c r="C213" s="320" t="s">
        <v>511</v>
      </c>
      <c r="D213" s="469"/>
      <c r="E213" s="475" t="s">
        <v>139</v>
      </c>
      <c r="F213" s="476" t="s">
        <v>17</v>
      </c>
      <c r="G213" s="280" t="s">
        <v>512</v>
      </c>
      <c r="H213" s="292" t="str">
        <f>IF(COUNTIF(H125:H126,"&lt;&gt; ")=0," ","Errors detected: "&amp;COUNTIF(H125:H126,"&lt;&gt; "))</f>
        <v>Errors detected: 2</v>
      </c>
      <c r="I213" s="431"/>
      <c r="J213" s="431"/>
      <c r="K213" s="431"/>
      <c r="L213" s="474"/>
      <c r="M213" s="443"/>
    </row>
    <row r="214" spans="2:13" x14ac:dyDescent="0.25">
      <c r="B214" s="437"/>
      <c r="C214" s="320" t="s">
        <v>513</v>
      </c>
      <c r="D214" s="469"/>
      <c r="E214" s="475" t="s">
        <v>139</v>
      </c>
      <c r="F214" s="476" t="s">
        <v>17</v>
      </c>
      <c r="G214" s="280" t="s">
        <v>514</v>
      </c>
      <c r="H214" s="292" t="str">
        <f>IF(COUNTIF(H132:H133,"&lt;&gt; ")=0," ","Errors detected: "&amp;COUNTIF(H132:H133,"&lt;&gt; "))</f>
        <v>Errors detected: 2</v>
      </c>
      <c r="I214" s="431"/>
      <c r="J214" s="431"/>
      <c r="K214" s="431"/>
      <c r="L214" s="474"/>
      <c r="M214" s="443"/>
    </row>
    <row r="215" spans="2:13" x14ac:dyDescent="0.25">
      <c r="B215" s="437"/>
      <c r="C215" s="320" t="s">
        <v>515</v>
      </c>
      <c r="D215" s="469"/>
      <c r="E215" s="475" t="s">
        <v>139</v>
      </c>
      <c r="F215" s="476" t="s">
        <v>17</v>
      </c>
      <c r="G215" s="280" t="s">
        <v>516</v>
      </c>
      <c r="H215" s="292" t="str">
        <f>IF(COUNTIF(H137:H140,"&lt;&gt; ")+COUNTIF(H142,"&lt;&gt; ")=0," ","Errors detected: "&amp;COUNTIF(H137:H140,"&lt;&gt; ")+COUNTIF(H142,"&lt;&gt; "))</f>
        <v>Errors detected: 5</v>
      </c>
      <c r="I215" s="431"/>
      <c r="J215" s="431"/>
      <c r="K215" s="431"/>
      <c r="L215" s="474"/>
      <c r="M215" s="443"/>
    </row>
    <row r="216" spans="2:13" x14ac:dyDescent="0.25">
      <c r="B216" s="437"/>
      <c r="C216" s="320" t="s">
        <v>517</v>
      </c>
      <c r="D216" s="469"/>
      <c r="E216" s="475" t="s">
        <v>139</v>
      </c>
      <c r="F216" s="476" t="s">
        <v>17</v>
      </c>
      <c r="G216" s="280" t="s">
        <v>518</v>
      </c>
      <c r="H216" s="292" t="str">
        <f>IF(COUNTIF(H146,"&lt;&gt; ")=0," ","Errors detected: "&amp;COUNTIF(H146,"&lt;&gt; "))</f>
        <v>Errors detected: 1</v>
      </c>
      <c r="I216" s="431"/>
      <c r="J216" s="431"/>
      <c r="K216" s="431"/>
      <c r="L216" s="474"/>
      <c r="M216" s="443"/>
    </row>
    <row r="217" spans="2:13" x14ac:dyDescent="0.25">
      <c r="B217" s="437"/>
      <c r="C217" s="320" t="s">
        <v>519</v>
      </c>
      <c r="D217" s="469"/>
      <c r="E217" s="475" t="s">
        <v>139</v>
      </c>
      <c r="F217" s="476" t="s">
        <v>17</v>
      </c>
      <c r="G217" s="280" t="s">
        <v>520</v>
      </c>
      <c r="H217" s="292" t="str">
        <f>IF(COUNTIF(H151,"&lt;&gt; ")+COUNTIF(H153,"&lt;&gt; ")=0," ","Errors detected: "&amp;COUNTIF(H151,"&lt;&gt; ")+COUNTIF(H153,"&lt;&gt; "))</f>
        <v>Errors detected: 2</v>
      </c>
      <c r="I217" s="431"/>
      <c r="J217" s="431"/>
      <c r="K217" s="431"/>
      <c r="L217" s="474"/>
      <c r="M217" s="443"/>
    </row>
    <row r="218" spans="2:13" x14ac:dyDescent="0.25">
      <c r="B218" s="437"/>
      <c r="C218" s="320" t="s">
        <v>521</v>
      </c>
      <c r="D218" s="469"/>
      <c r="E218" s="477" t="s">
        <v>139</v>
      </c>
      <c r="F218" s="478" t="s">
        <v>17</v>
      </c>
      <c r="G218" s="280" t="s">
        <v>522</v>
      </c>
      <c r="H218" s="292" t="str">
        <f>IF(COUNTIF(H157:H159,"&lt;&gt; ")+COUNTIF(H161,"&lt;&gt; ")=0," ","Errors detected: "&amp;COUNTIF(H157:H159,"&lt;&gt; ")+COUNTIF(H161,"&lt;&gt; "))</f>
        <v>Errors detected: 4</v>
      </c>
      <c r="I218" s="431"/>
      <c r="J218" s="431"/>
      <c r="K218" s="431"/>
      <c r="L218" s="474"/>
      <c r="M218" s="443"/>
    </row>
    <row r="219" spans="2:13" x14ac:dyDescent="0.25">
      <c r="B219" s="437"/>
      <c r="C219" s="320" t="s">
        <v>523</v>
      </c>
      <c r="D219" s="469"/>
      <c r="E219" s="479"/>
      <c r="F219" s="480"/>
      <c r="G219" s="280" t="s">
        <v>524</v>
      </c>
      <c r="H219" s="292" t="str">
        <f>IF(COUNTIF(H167:H168,"&lt;&gt; ")+COUNTIF(H170:H176,"&lt;&gt; ")+COUNTIF(H179,"&lt;&gt; ")=0," ","Errors detected: "&amp;COUNTIF(H167:H168,"&lt;&gt; ")+COUNTIF(H170:H176,"&lt;&gt; ")+COUNTIF(H179,"&lt;&gt; "))</f>
        <v>Errors detected: 10</v>
      </c>
      <c r="I219" s="431"/>
      <c r="J219" s="431"/>
      <c r="K219" s="431"/>
      <c r="L219" s="431"/>
      <c r="M219" s="443"/>
    </row>
    <row r="220" spans="2:13" x14ac:dyDescent="0.25">
      <c r="B220" s="437"/>
      <c r="C220" s="419" t="s">
        <v>525</v>
      </c>
      <c r="D220" s="481"/>
      <c r="E220" s="482"/>
      <c r="F220" s="483"/>
      <c r="G220" s="280" t="s">
        <v>526</v>
      </c>
      <c r="H220" s="309" t="str">
        <f>IF(COUNTIF(H185:H199,"&lt;&gt; ")=0," ","Errors detected: "&amp;COUNTIF(H185:H199,"&lt;&gt; "))</f>
        <v>Errors detected: 15</v>
      </c>
      <c r="I220" s="431"/>
      <c r="J220" s="431"/>
      <c r="K220" s="431"/>
      <c r="L220" s="431"/>
      <c r="M220" s="443"/>
    </row>
    <row r="221" spans="2:13" x14ac:dyDescent="0.25">
      <c r="B221" s="453"/>
      <c r="C221" s="454"/>
      <c r="D221" s="454"/>
      <c r="E221" s="454"/>
      <c r="F221" s="454"/>
      <c r="G221" s="454"/>
      <c r="H221" s="454"/>
      <c r="I221" s="484"/>
      <c r="J221" s="484"/>
      <c r="K221" s="484"/>
      <c r="L221" s="454"/>
      <c r="M221" s="455"/>
    </row>
    <row r="222" spans="2:13" x14ac:dyDescent="0.25">
      <c r="E222" s="431"/>
    </row>
    <row r="223" spans="2:13" x14ac:dyDescent="0.25"/>
    <row r="224" spans="2:13" x14ac:dyDescent="0.25"/>
    <row r="225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</sheetData>
  <mergeCells count="11">
    <mergeCell ref="F101:F102"/>
    <mergeCell ref="C119:E119"/>
    <mergeCell ref="C1:E1"/>
    <mergeCell ref="C33:E34"/>
    <mergeCell ref="C47:E48"/>
    <mergeCell ref="C49:E50"/>
    <mergeCell ref="C52:E52"/>
    <mergeCell ref="C71:E72"/>
    <mergeCell ref="C101:C102"/>
    <mergeCell ref="D101:D102"/>
    <mergeCell ref="E101:E102"/>
  </mergeCells>
  <conditionalFormatting sqref="H20:H24 H26:H32 H36:H41 H43:H46 H48 H50 H61:H67 H58 H185:H199">
    <cfRule type="cellIs" dxfId="11" priority="7" stopIfTrue="1" operator="notEqual">
      <formula>" "</formula>
    </cfRule>
  </conditionalFormatting>
  <conditionalFormatting sqref="H103:H114 H122 H125:H126 H116:H118">
    <cfRule type="cellIs" dxfId="10" priority="10" stopIfTrue="1" operator="notEqual">
      <formula>" "</formula>
    </cfRule>
  </conditionalFormatting>
  <conditionalFormatting sqref="H57 H69:H70 H75:H78 H80:H81 H88:H94 H96 H59">
    <cfRule type="cellIs" dxfId="9" priority="8" stopIfTrue="1" operator="notEqual">
      <formula>" "</formula>
    </cfRule>
  </conditionalFormatting>
  <conditionalFormatting sqref="H132:H133 H137:H140 H142 H146 H151 H153 H157:H159 H161 H167:H168 H170:H176 H179">
    <cfRule type="cellIs" dxfId="8" priority="11" stopIfTrue="1" operator="notEqual">
      <formula>" "</formula>
    </cfRule>
  </conditionalFormatting>
  <conditionalFormatting sqref="H205:H218">
    <cfRule type="cellIs" dxfId="7" priority="12" stopIfTrue="1" operator="notEqual">
      <formula>" "</formula>
    </cfRule>
  </conditionalFormatting>
  <conditionalFormatting sqref="H6:H8 H10:H11 H13:H15">
    <cfRule type="cellIs" dxfId="6" priority="6" stopIfTrue="1" operator="notEqual">
      <formula>" "</formula>
    </cfRule>
  </conditionalFormatting>
  <conditionalFormatting sqref="H84">
    <cfRule type="cellIs" dxfId="5" priority="9" stopIfTrue="1" operator="notEqual">
      <formula>" "</formula>
    </cfRule>
  </conditionalFormatting>
  <conditionalFormatting sqref="H83">
    <cfRule type="cellIs" dxfId="4" priority="3" stopIfTrue="1" operator="notEqual">
      <formula>" "</formula>
    </cfRule>
  </conditionalFormatting>
  <conditionalFormatting sqref="H219:H220">
    <cfRule type="cellIs" dxfId="3" priority="2" stopIfTrue="1" operator="notEqual">
      <formula>" "</formula>
    </cfRule>
  </conditionalFormatting>
  <conditionalFormatting sqref="F6:F8">
    <cfRule type="containsText" dxfId="2" priority="5" stopIfTrue="1" operator="containsText" text="&lt;select&gt;">
      <formula>NOT(ISERROR(SEARCH("&lt;select&gt;",F6)))</formula>
    </cfRule>
  </conditionalFormatting>
  <conditionalFormatting sqref="H51">
    <cfRule type="cellIs" dxfId="1" priority="1" stopIfTrue="1" operator="notEqual">
      <formula>" "</formula>
    </cfRule>
  </conditionalFormatting>
  <conditionalFormatting sqref="F6:F8">
    <cfRule type="containsBlanks" dxfId="0" priority="4" stopIfTrue="1">
      <formula>LEN(TRIM(F6))=0</formula>
    </cfRule>
  </conditionalFormatting>
  <dataValidations disablePrompts="1" count="6">
    <dataValidation type="list" allowBlank="1" showInputMessage="1" showErrorMessage="1" sqref="F10">
      <formula1>ReportingDate</formula1>
    </dataValidation>
    <dataValidation type="list" allowBlank="1" showInputMessage="1" showErrorMessage="1" sqref="J167:J168 J26:J32 J83:J84 J116:J118 J75:J78 J69:J70 J88:J94 J96 J103:J114 J61:J67 J122 J125:J126 J132:J133 J137:J140 J142 J146 J151 J153 J157:J159 J161 J170:J176 J179 J20:J24 J36:J41 J43:J46 J48 J80:J81 J57:J59 J50:J51">
      <formula1>ChecksResponses</formula1>
    </dataValidation>
    <dataValidation type="list" allowBlank="1" showInputMessage="1" showErrorMessage="1" sqref="F6">
      <formula1>CountryCode</formula1>
    </dataValidation>
    <dataValidation type="list" allowBlank="1" showInputMessage="1" showErrorMessage="1" sqref="F14">
      <formula1>AccountingStandard</formula1>
    </dataValidation>
    <dataValidation type="list" allowBlank="1" showInputMessage="1" showErrorMessage="1" sqref="F13">
      <formula1>ReportingUnit</formula1>
    </dataValidation>
    <dataValidation type="list" allowBlank="1" showInputMessage="1" showErrorMessage="1" sqref="F11">
      <formula1>ReportingCurrency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XFC39"/>
  <sheetViews>
    <sheetView showGridLines="0" workbookViewId="0"/>
  </sheetViews>
  <sheetFormatPr defaultColWidth="0" defaultRowHeight="12.75" zeroHeight="1" x14ac:dyDescent="0.2"/>
  <cols>
    <col min="1" max="1" width="29.85546875" style="200" bestFit="1" customWidth="1"/>
    <col min="2" max="4" width="12.7109375" style="201" customWidth="1"/>
    <col min="5" max="5" width="4.7109375" style="202" customWidth="1"/>
    <col min="6" max="16383" width="9.140625" style="202" hidden="1"/>
    <col min="16384" max="16384" width="4.140625" style="202" hidden="1"/>
  </cols>
  <sheetData>
    <row r="1" spans="1:4" x14ac:dyDescent="0.2">
      <c r="A1" s="530" t="s">
        <v>355</v>
      </c>
      <c r="B1" s="531" t="s">
        <v>369</v>
      </c>
      <c r="C1" s="531" t="s">
        <v>353</v>
      </c>
      <c r="D1" s="531" t="s">
        <v>354</v>
      </c>
    </row>
    <row r="2" spans="1:4" x14ac:dyDescent="0.2"/>
    <row r="3" spans="1:4" x14ac:dyDescent="0.2">
      <c r="A3" s="200" t="s">
        <v>367</v>
      </c>
      <c r="B3" s="201" t="str">
        <f t="shared" ref="B3:B38" si="0">+C3&amp;"_"&amp;D3</f>
        <v>NL_ABN</v>
      </c>
      <c r="C3" s="199" t="s">
        <v>281</v>
      </c>
      <c r="D3" s="201" t="s">
        <v>345</v>
      </c>
    </row>
    <row r="4" spans="1:4" x14ac:dyDescent="0.2">
      <c r="A4" s="200" t="s">
        <v>366</v>
      </c>
      <c r="B4" s="201" t="str">
        <f t="shared" si="0"/>
        <v>IT_MPS</v>
      </c>
      <c r="C4" s="199" t="s">
        <v>280</v>
      </c>
      <c r="D4" s="201" t="s">
        <v>343</v>
      </c>
    </row>
    <row r="5" spans="1:4" x14ac:dyDescent="0.2">
      <c r="A5" s="200" t="s">
        <v>362</v>
      </c>
      <c r="B5" s="201" t="str">
        <f t="shared" si="0"/>
        <v>FR_POS</v>
      </c>
      <c r="C5" s="199" t="s">
        <v>279</v>
      </c>
      <c r="D5" s="201" t="s">
        <v>340</v>
      </c>
    </row>
    <row r="6" spans="1:4" x14ac:dyDescent="0.2">
      <c r="A6" s="200" t="s">
        <v>303</v>
      </c>
      <c r="B6" s="201" t="str">
        <f t="shared" si="0"/>
        <v>UK_BAR</v>
      </c>
      <c r="C6" s="199" t="s">
        <v>347</v>
      </c>
      <c r="D6" s="201" t="s">
        <v>349</v>
      </c>
    </row>
    <row r="7" spans="1:4" x14ac:dyDescent="0.2">
      <c r="A7" s="200" t="s">
        <v>356</v>
      </c>
      <c r="B7" s="201" t="str">
        <f t="shared" si="0"/>
        <v>ES_BBV</v>
      </c>
      <c r="C7" s="199" t="s">
        <v>275</v>
      </c>
      <c r="D7" s="201" t="s">
        <v>330</v>
      </c>
    </row>
    <row r="8" spans="1:4" x14ac:dyDescent="0.2">
      <c r="A8" s="200" t="s">
        <v>359</v>
      </c>
      <c r="B8" s="201" t="str">
        <f t="shared" si="0"/>
        <v>FR_BNP</v>
      </c>
      <c r="C8" s="199" t="s">
        <v>279</v>
      </c>
      <c r="D8" s="201" t="s">
        <v>336</v>
      </c>
    </row>
    <row r="9" spans="1:4" x14ac:dyDescent="0.2">
      <c r="A9" s="200" t="s">
        <v>292</v>
      </c>
      <c r="B9" s="201" t="str">
        <f t="shared" si="0"/>
        <v>FR_BPC</v>
      </c>
      <c r="C9" s="199" t="s">
        <v>279</v>
      </c>
      <c r="D9" s="201" t="s">
        <v>337</v>
      </c>
    </row>
    <row r="10" spans="1:4" x14ac:dyDescent="0.2">
      <c r="A10" s="200" t="s">
        <v>360</v>
      </c>
      <c r="B10" s="201" t="str">
        <f t="shared" si="0"/>
        <v>FR_CAG</v>
      </c>
      <c r="C10" s="199" t="s">
        <v>279</v>
      </c>
      <c r="D10" s="201" t="s">
        <v>338</v>
      </c>
    </row>
    <row r="11" spans="1:4" x14ac:dyDescent="0.2">
      <c r="A11" s="200" t="s">
        <v>361</v>
      </c>
      <c r="B11" s="201" t="str">
        <f t="shared" si="0"/>
        <v>FR_CMU</v>
      </c>
      <c r="C11" s="199" t="s">
        <v>279</v>
      </c>
      <c r="D11" s="201" t="s">
        <v>339</v>
      </c>
    </row>
    <row r="12" spans="1:4" x14ac:dyDescent="0.2">
      <c r="A12" s="200" t="s">
        <v>365</v>
      </c>
      <c r="B12" s="201" t="str">
        <f t="shared" si="0"/>
        <v>DK_DAN</v>
      </c>
      <c r="C12" s="199" t="s">
        <v>278</v>
      </c>
      <c r="D12" s="201" t="s">
        <v>335</v>
      </c>
    </row>
    <row r="13" spans="1:4" x14ac:dyDescent="0.2">
      <c r="A13" s="200" t="s">
        <v>327</v>
      </c>
      <c r="B13" s="201" t="str">
        <f t="shared" si="0"/>
        <v>NO_DNB</v>
      </c>
      <c r="C13" s="199" t="s">
        <v>326</v>
      </c>
      <c r="D13" s="201" t="s">
        <v>327</v>
      </c>
    </row>
    <row r="14" spans="1:4" x14ac:dyDescent="0.2">
      <c r="A14" s="200" t="s">
        <v>288</v>
      </c>
      <c r="B14" s="201" t="str">
        <f t="shared" si="0"/>
        <v>AT_ERS</v>
      </c>
      <c r="C14" s="199" t="s">
        <v>276</v>
      </c>
      <c r="D14" s="201" t="s">
        <v>334</v>
      </c>
    </row>
    <row r="15" spans="1:4" x14ac:dyDescent="0.2">
      <c r="A15" s="200" t="s">
        <v>283</v>
      </c>
      <c r="B15" s="201" t="str">
        <f t="shared" si="0"/>
        <v>SE_HAN</v>
      </c>
      <c r="C15" s="199" t="s">
        <v>274</v>
      </c>
      <c r="D15" s="201" t="s">
        <v>328</v>
      </c>
    </row>
    <row r="16" spans="1:4" x14ac:dyDescent="0.2">
      <c r="A16" s="200" t="s">
        <v>304</v>
      </c>
      <c r="B16" s="201" t="str">
        <f t="shared" si="0"/>
        <v>UK_HSB</v>
      </c>
      <c r="C16" s="199" t="s">
        <v>347</v>
      </c>
      <c r="D16" s="201" t="s">
        <v>350</v>
      </c>
    </row>
    <row r="17" spans="1:4" x14ac:dyDescent="0.2">
      <c r="A17" s="200" t="s">
        <v>301</v>
      </c>
      <c r="B17" s="201" t="str">
        <f t="shared" si="0"/>
        <v>NL_ING</v>
      </c>
      <c r="C17" s="199" t="s">
        <v>281</v>
      </c>
      <c r="D17" s="201" t="s">
        <v>301</v>
      </c>
    </row>
    <row r="18" spans="1:4" x14ac:dyDescent="0.2">
      <c r="A18" s="200" t="s">
        <v>364</v>
      </c>
      <c r="B18" s="201" t="str">
        <f t="shared" si="0"/>
        <v>IT_INT</v>
      </c>
      <c r="C18" s="199" t="s">
        <v>280</v>
      </c>
      <c r="D18" s="201" t="s">
        <v>342</v>
      </c>
    </row>
    <row r="19" spans="1:4" x14ac:dyDescent="0.2">
      <c r="A19" s="200" t="s">
        <v>289</v>
      </c>
      <c r="B19" s="201" t="str">
        <f t="shared" si="0"/>
        <v>BE_KBC</v>
      </c>
      <c r="C19" s="199" t="s">
        <v>277</v>
      </c>
      <c r="D19" s="201" t="s">
        <v>289</v>
      </c>
    </row>
    <row r="20" spans="1:4" x14ac:dyDescent="0.2">
      <c r="A20" s="200" t="s">
        <v>357</v>
      </c>
      <c r="B20" s="201" t="str">
        <f t="shared" si="0"/>
        <v>ES_CAI</v>
      </c>
      <c r="C20" s="199" t="s">
        <v>275</v>
      </c>
      <c r="D20" s="201" t="s">
        <v>331</v>
      </c>
    </row>
    <row r="21" spans="1:4" x14ac:dyDescent="0.2">
      <c r="A21" s="200" t="s">
        <v>305</v>
      </c>
      <c r="B21" s="201" t="str">
        <f t="shared" si="0"/>
        <v>UK_LOY</v>
      </c>
      <c r="C21" s="199" t="s">
        <v>347</v>
      </c>
      <c r="D21" s="201" t="s">
        <v>351</v>
      </c>
    </row>
    <row r="22" spans="1:4" x14ac:dyDescent="0.2">
      <c r="A22" s="200" t="s">
        <v>306</v>
      </c>
      <c r="B22" s="201" t="str">
        <f t="shared" si="0"/>
        <v>UK_NAT</v>
      </c>
      <c r="C22" s="199" t="s">
        <v>347</v>
      </c>
      <c r="D22" s="201" t="s">
        <v>352</v>
      </c>
    </row>
    <row r="23" spans="1:4" x14ac:dyDescent="0.2">
      <c r="A23" s="200" t="s">
        <v>284</v>
      </c>
      <c r="B23" s="201" t="str">
        <f t="shared" si="0"/>
        <v>SE_NOR</v>
      </c>
      <c r="C23" s="199" t="s">
        <v>274</v>
      </c>
      <c r="D23" s="201" t="s">
        <v>329</v>
      </c>
    </row>
    <row r="24" spans="1:4" x14ac:dyDescent="0.2">
      <c r="A24" s="200" t="s">
        <v>302</v>
      </c>
      <c r="B24" s="201" t="str">
        <f t="shared" si="0"/>
        <v>NL_RAB</v>
      </c>
      <c r="C24" s="199" t="s">
        <v>281</v>
      </c>
      <c r="D24" s="201" t="s">
        <v>346</v>
      </c>
    </row>
    <row r="25" spans="1:4" x14ac:dyDescent="0.2">
      <c r="A25" s="200" t="s">
        <v>307</v>
      </c>
      <c r="B25" s="201" t="str">
        <f t="shared" si="0"/>
        <v>UK_RBS</v>
      </c>
      <c r="C25" s="199" t="s">
        <v>347</v>
      </c>
      <c r="D25" s="201" t="s">
        <v>307</v>
      </c>
    </row>
    <row r="26" spans="1:4" x14ac:dyDescent="0.2">
      <c r="A26" s="200" t="s">
        <v>358</v>
      </c>
      <c r="B26" s="201" t="str">
        <f t="shared" si="0"/>
        <v>ES_SAN</v>
      </c>
      <c r="C26" s="199" t="s">
        <v>275</v>
      </c>
      <c r="D26" s="201" t="s">
        <v>332</v>
      </c>
    </row>
    <row r="27" spans="1:4" x14ac:dyDescent="0.2">
      <c r="A27" s="200" t="s">
        <v>285</v>
      </c>
      <c r="B27" s="201" t="str">
        <f t="shared" si="0"/>
        <v>SE_SEB</v>
      </c>
      <c r="C27" s="199" t="s">
        <v>274</v>
      </c>
      <c r="D27" s="201" t="s">
        <v>285</v>
      </c>
    </row>
    <row r="28" spans="1:4" x14ac:dyDescent="0.2">
      <c r="A28" s="200" t="s">
        <v>363</v>
      </c>
      <c r="B28" s="201" t="str">
        <f t="shared" si="0"/>
        <v>FR_SOC</v>
      </c>
      <c r="C28" s="199" t="s">
        <v>279</v>
      </c>
      <c r="D28" s="201" t="s">
        <v>341</v>
      </c>
    </row>
    <row r="29" spans="1:4" x14ac:dyDescent="0.2">
      <c r="A29" s="200" t="s">
        <v>368</v>
      </c>
      <c r="B29" s="201" t="str">
        <f t="shared" si="0"/>
        <v>UK_STC</v>
      </c>
      <c r="C29" s="199" t="s">
        <v>347</v>
      </c>
      <c r="D29" s="201" t="s">
        <v>348</v>
      </c>
    </row>
    <row r="30" spans="1:4" x14ac:dyDescent="0.2">
      <c r="A30" s="200" t="s">
        <v>287</v>
      </c>
      <c r="B30" s="201" t="str">
        <f t="shared" si="0"/>
        <v>SE_SWE</v>
      </c>
      <c r="C30" s="199" t="s">
        <v>274</v>
      </c>
      <c r="D30" s="201" t="s">
        <v>333</v>
      </c>
    </row>
    <row r="31" spans="1:4" x14ac:dyDescent="0.2">
      <c r="A31" s="200" t="s">
        <v>299</v>
      </c>
      <c r="B31" s="201" t="str">
        <f t="shared" si="0"/>
        <v>IT_UNI</v>
      </c>
      <c r="C31" s="199" t="s">
        <v>280</v>
      </c>
      <c r="D31" s="201" t="s">
        <v>344</v>
      </c>
    </row>
    <row r="32" spans="1:4" x14ac:dyDescent="0.2">
      <c r="A32" s="200" t="s">
        <v>538</v>
      </c>
      <c r="B32" s="201" t="str">
        <f t="shared" si="0"/>
        <v>DE_BLB</v>
      </c>
      <c r="C32" s="199" t="s">
        <v>529</v>
      </c>
      <c r="D32" s="201" t="s">
        <v>530</v>
      </c>
    </row>
    <row r="33" spans="1:4" x14ac:dyDescent="0.2">
      <c r="A33" s="200" t="s">
        <v>539</v>
      </c>
      <c r="B33" s="201" t="str">
        <f t="shared" si="0"/>
        <v>DE_COM</v>
      </c>
      <c r="C33" s="199" t="s">
        <v>529</v>
      </c>
      <c r="D33" s="201" t="s">
        <v>531</v>
      </c>
    </row>
    <row r="34" spans="1:4" x14ac:dyDescent="0.2">
      <c r="A34" s="200" t="s">
        <v>540</v>
      </c>
      <c r="B34" s="201" t="str">
        <f t="shared" si="0"/>
        <v>DE_DEB</v>
      </c>
      <c r="C34" s="199" t="s">
        <v>529</v>
      </c>
      <c r="D34" s="201" t="s">
        <v>534</v>
      </c>
    </row>
    <row r="35" spans="1:4" x14ac:dyDescent="0.2">
      <c r="A35" s="200" t="s">
        <v>541</v>
      </c>
      <c r="B35" s="201" t="str">
        <f t="shared" si="0"/>
        <v>DE_DZB</v>
      </c>
      <c r="C35" s="199" t="s">
        <v>529</v>
      </c>
      <c r="D35" s="201" t="s">
        <v>532</v>
      </c>
    </row>
    <row r="36" spans="1:4" x14ac:dyDescent="0.2">
      <c r="A36" s="200" t="s">
        <v>542</v>
      </c>
      <c r="B36" s="201" t="str">
        <f t="shared" si="0"/>
        <v>DE_HLB</v>
      </c>
      <c r="C36" s="201" t="s">
        <v>529</v>
      </c>
      <c r="D36" s="201" t="s">
        <v>533</v>
      </c>
    </row>
    <row r="37" spans="1:4" x14ac:dyDescent="0.2">
      <c r="A37" s="200" t="s">
        <v>543</v>
      </c>
      <c r="B37" s="201" t="str">
        <f t="shared" si="0"/>
        <v>DE_LBW</v>
      </c>
      <c r="C37" s="201" t="s">
        <v>529</v>
      </c>
      <c r="D37" s="201" t="s">
        <v>535</v>
      </c>
    </row>
    <row r="38" spans="1:4" x14ac:dyDescent="0.2">
      <c r="A38" s="200" t="s">
        <v>537</v>
      </c>
      <c r="B38" s="201" t="str">
        <f t="shared" si="0"/>
        <v>DE_NLB</v>
      </c>
      <c r="C38" s="201" t="s">
        <v>529</v>
      </c>
      <c r="D38" s="201" t="s">
        <v>536</v>
      </c>
    </row>
    <row r="39" spans="1:4" x14ac:dyDescent="0.2"/>
  </sheetData>
  <sortState ref="A3:D38">
    <sortCondition ref="A3:A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Bank Template Tool - 2013</vt:lpstr>
      <vt:lpstr>Summary - 2013</vt:lpstr>
      <vt:lpstr>Charts</vt:lpstr>
      <vt:lpstr>Data</vt:lpstr>
      <vt:lpstr>aux - template</vt:lpstr>
      <vt:lpstr>aux - sample</vt:lpstr>
      <vt:lpstr>'Bank Template Tool - 2013'!Print_Area</vt:lpstr>
      <vt:lpstr>Charts!Print_Area</vt:lpstr>
      <vt:lpstr>'Bank Template Tool - 2013'!Print_Titles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lgarcia</dc:creator>
  <cp:lastModifiedBy>lgarcia</cp:lastModifiedBy>
  <cp:lastPrinted>2015-07-27T18:32:53Z</cp:lastPrinted>
  <dcterms:created xsi:type="dcterms:W3CDTF">2014-09-08T17:02:02Z</dcterms:created>
  <dcterms:modified xsi:type="dcterms:W3CDTF">2015-07-27T18:33:14Z</dcterms:modified>
</cp:coreProperties>
</file>